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977" yWindow="27" windowWidth="13802" windowHeight="10868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<sst xmlns="http://schemas.openxmlformats.org/spreadsheetml/2006/main" count="164" uniqueCount="113">
  <si>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</si>
  <si>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</si>
  <si>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</si>
  <si>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</si>
  <si>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</si>
  <si>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</si>
  <si>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</si>
  <si>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</si>
  <si>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</si>
  <si>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</si>
  <si>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</si>
  <si>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</si>
  <si>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</si>
  <si>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</si>
  <si>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</si>
  <si>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</si>
  <si>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</si>
  <si>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</si>
  <si>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</si>
  <si>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</si>
  <si>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</si>
  <si>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</si>
  <si>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</si>
  <si>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</si>
  <si>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</si>
  <si>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</si>
  <si>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</si>
  <si>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</si>
  <si>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</si>
  <si>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</si>
  <si>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</si>
  <si>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</si>
  <si>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</si>
  <si>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</si>
  <si>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</si>
  <si>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</si>
  <si>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</si>
  <si>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</si>
  <si>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</si>
  <si>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</si>
  <si>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</si>
  <si>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</si>
  <si>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</si>
  <si>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</si>
  <si>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</si>
  <si>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</si>
  <si>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</si>
  <si>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</si>
  <si>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</si>
  <si>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</si>
  <si>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</si>
  <si>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</si>
  <si>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</si>
  <si>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</si>
  <si>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</si>
  <si>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</si>
  <si>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</si>
  <si>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</si>
  <si>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</si>
  <si>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</si>
  <si>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</si>
  <si>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</si>
  <si>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</si>
  <si>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</si>
  <si>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</si>
  <si>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</si>
  <si>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</si>
  <si>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</si>
  <si>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</si>
  <si>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</si>
  <si>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</si>
  <si>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</si>
  <si>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</si>
  <si>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</si>
  <si>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</si>
  <si>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</si>
  <si>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</si>
  <si>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</si>
  <si>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</si>
  <si>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</si>
  <si>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</si>
  <si>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</si>
  <si>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</si>
  <si>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</si>
  <si>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</si>
  <si>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</si>
  <si>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</si>
  <si>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</si>
  <si>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</si>
  <si>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Громадський бюджет</t>
  </si>
  <si>
    <t>Підвищення кваліфікації кадрів</t>
  </si>
  <si>
    <t>Програма розвитку земельних відносин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</si>
  <si>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</si>
  <si>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</si>
  <si>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</si>
  <si>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</si>
  <si>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</si>
  <si>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</si>
  <si>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</si>
  <si>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</si>
  <si>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Програма впорядкування тимчасових споруд і зовнішньої реклами</t>
  </si>
  <si>
    <t>Програма забезпечення виконання рішень суду</t>
  </si>
  <si>
    <t>Програма розроблення містобудівної документації</t>
  </si>
  <si>
    <t>Програма розроблнння стратегічного плану розвитку м. Черкаси</t>
  </si>
  <si>
    <t>Реалізація програми допомоги і грантів міжнар.фін.орган.</t>
  </si>
  <si>
    <t>Програма сприяння залученню інвестицій</t>
  </si>
  <si>
    <t>План на 2 місяці, тис.грн.</t>
  </si>
  <si>
    <t>План на рік, тис.грн.</t>
  </si>
  <si>
    <t>Відсоток виконання  плану 2 місяців</t>
  </si>
  <si>
    <t>Відсоток виконання  плану на рік</t>
  </si>
  <si>
    <t>Відхилення від  плану 2 місяців, тис.грн.</t>
  </si>
  <si>
    <t>Відхилення від плану на рік тис.грн.</t>
  </si>
  <si>
    <t>Аналіз використання коштів загального фонду міського бюджету станом на 28.02.2018 року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</si>
</sst>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77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  <font>
      <b/>
      <i/>
      <sz val="14"/>
      <color indexed="8"/>
      <name val="Arial Cyr"/>
      <family val="0"/>
    </font>
    <font>
      <b/>
      <sz val="14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0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2" fillId="25" borderId="1" applyNumberFormat="0" applyAlignment="0" applyProtection="0"/>
    <xf numFmtId="0" fontId="63" fillId="26" borderId="2" applyNumberFormat="0" applyAlignment="0" applyProtection="0"/>
    <xf numFmtId="0" fontId="64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7" borderId="7" applyNumberFormat="0" applyAlignment="0" applyProtection="0"/>
    <xf numFmtId="0" fontId="70" fillId="0" borderId="0" applyNumberFormat="0" applyFill="0" applyBorder="0" applyAlignment="0" applyProtection="0"/>
    <xf numFmtId="0" fontId="71" fillId="28" borderId="0" applyNumberFormat="0" applyBorder="0" applyAlignment="0" applyProtection="0"/>
    <xf numFmtId="0" fontId="2" fillId="0" borderId="0">
      <alignment/>
      <protection/>
    </xf>
    <xf numFmtId="0" fontId="72" fillId="29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6" fillId="31" borderId="0" applyNumberFormat="0" applyBorder="0" applyAlignment="0" applyProtection="0"/>
  </cellStyleXfs>
  <cellXfs count="187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32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5" fillId="32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32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32" borderId="15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32" borderId="11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wrapText="1"/>
    </xf>
    <xf numFmtId="2" fontId="4" fillId="32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189" fontId="0" fillId="0" borderId="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32" borderId="13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/>
    </xf>
    <xf numFmtId="190" fontId="4" fillId="32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32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32" borderId="15" xfId="0" applyNumberFormat="1" applyFont="1" applyFill="1" applyBorder="1" applyAlignment="1">
      <alignment wrapText="1"/>
    </xf>
    <xf numFmtId="190" fontId="4" fillId="32" borderId="15" xfId="0" applyNumberFormat="1" applyFont="1" applyFill="1" applyBorder="1" applyAlignment="1">
      <alignment/>
    </xf>
    <xf numFmtId="190" fontId="4" fillId="32" borderId="14" xfId="0" applyNumberFormat="1" applyFont="1" applyFill="1" applyBorder="1" applyAlignment="1">
      <alignment/>
    </xf>
    <xf numFmtId="190" fontId="4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32" borderId="11" xfId="0" applyNumberFormat="1" applyFont="1" applyFill="1" applyBorder="1" applyAlignment="1">
      <alignment/>
    </xf>
    <xf numFmtId="0" fontId="5" fillId="32" borderId="16" xfId="0" applyFont="1" applyFill="1" applyBorder="1" applyAlignment="1">
      <alignment wrapText="1"/>
    </xf>
    <xf numFmtId="190" fontId="4" fillId="32" borderId="16" xfId="0" applyNumberFormat="1" applyFont="1" applyFill="1" applyBorder="1" applyAlignment="1">
      <alignment/>
    </xf>
    <xf numFmtId="189" fontId="4" fillId="32" borderId="16" xfId="0" applyNumberFormat="1" applyFont="1" applyFill="1" applyBorder="1" applyAlignment="1">
      <alignment/>
    </xf>
    <xf numFmtId="188" fontId="0" fillId="0" borderId="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2" fillId="0" borderId="12" xfId="0" applyNumberFormat="1" applyFont="1" applyFill="1" applyBorder="1" applyAlignment="1">
      <alignment/>
    </xf>
    <xf numFmtId="189" fontId="12" fillId="0" borderId="10" xfId="0" applyNumberFormat="1" applyFont="1" applyFill="1" applyBorder="1" applyAlignment="1">
      <alignment/>
    </xf>
    <xf numFmtId="0" fontId="12" fillId="0" borderId="12" xfId="0" applyFont="1" applyFill="1" applyBorder="1" applyAlignment="1">
      <alignment horizontal="left" wrapText="1" indent="4"/>
    </xf>
    <xf numFmtId="190" fontId="12" fillId="0" borderId="12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 vertical="center" wrapText="1"/>
    </xf>
    <xf numFmtId="0" fontId="0" fillId="0" borderId="0" xfId="52" applyFont="1" applyBorder="1" applyAlignment="1" applyProtection="1">
      <alignment vertical="center" wrapText="1"/>
      <protection/>
    </xf>
    <xf numFmtId="190" fontId="0" fillId="0" borderId="0" xfId="52" applyNumberFormat="1" applyFont="1" applyBorder="1" applyAlignment="1" applyProtection="1">
      <alignment vertical="center" wrapText="1"/>
      <protection/>
    </xf>
    <xf numFmtId="190" fontId="12" fillId="0" borderId="10" xfId="0" applyNumberFormat="1" applyFont="1" applyFill="1" applyBorder="1" applyAlignment="1">
      <alignment/>
    </xf>
    <xf numFmtId="189" fontId="4" fillId="32" borderId="14" xfId="0" applyNumberFormat="1" applyFont="1" applyFill="1" applyBorder="1" applyAlignment="1">
      <alignment/>
    </xf>
    <xf numFmtId="189" fontId="4" fillId="32" borderId="19" xfId="0" applyNumberFormat="1" applyFont="1" applyFill="1" applyBorder="1" applyAlignment="1">
      <alignment/>
    </xf>
    <xf numFmtId="0" fontId="5" fillId="32" borderId="20" xfId="0" applyFont="1" applyFill="1" applyBorder="1" applyAlignment="1">
      <alignment wrapText="1"/>
    </xf>
    <xf numFmtId="189" fontId="4" fillId="32" borderId="15" xfId="0" applyNumberFormat="1" applyFont="1" applyFill="1" applyBorder="1" applyAlignment="1">
      <alignment/>
    </xf>
    <xf numFmtId="190" fontId="4" fillId="32" borderId="21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 horizontal="right"/>
    </xf>
    <xf numFmtId="190" fontId="0" fillId="0" borderId="10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horizontal="right" wrapText="1"/>
    </xf>
    <xf numFmtId="190" fontId="5" fillId="32" borderId="20" xfId="0" applyNumberFormat="1" applyFont="1" applyFill="1" applyBorder="1" applyAlignment="1">
      <alignment horizontal="right" wrapText="1"/>
    </xf>
    <xf numFmtId="190" fontId="0" fillId="0" borderId="0" xfId="0" applyNumberFormat="1" applyFont="1" applyFill="1" applyAlignment="1">
      <alignment wrapText="1"/>
    </xf>
    <xf numFmtId="0" fontId="0" fillId="33" borderId="0" xfId="0" applyFont="1" applyFill="1" applyAlignment="1">
      <alignment/>
    </xf>
    <xf numFmtId="0" fontId="11" fillId="33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190" fontId="5" fillId="0" borderId="0" xfId="0" applyNumberFormat="1" applyFont="1" applyFill="1" applyAlignment="1">
      <alignment/>
    </xf>
    <xf numFmtId="0" fontId="5" fillId="33" borderId="14" xfId="0" applyFont="1" applyFill="1" applyBorder="1" applyAlignment="1">
      <alignment wrapText="1"/>
    </xf>
    <xf numFmtId="190" fontId="5" fillId="33" borderId="14" xfId="0" applyNumberFormat="1" applyFont="1" applyFill="1" applyBorder="1" applyAlignment="1">
      <alignment wrapText="1"/>
    </xf>
    <xf numFmtId="190" fontId="4" fillId="33" borderId="17" xfId="0" applyNumberFormat="1" applyFont="1" applyFill="1" applyBorder="1" applyAlignment="1">
      <alignment/>
    </xf>
    <xf numFmtId="189" fontId="4" fillId="33" borderId="10" xfId="0" applyNumberFormat="1" applyFont="1" applyFill="1" applyBorder="1" applyAlignment="1">
      <alignment/>
    </xf>
    <xf numFmtId="190" fontId="4" fillId="33" borderId="10" xfId="0" applyNumberFormat="1" applyFont="1" applyFill="1" applyBorder="1" applyAlignment="1">
      <alignment/>
    </xf>
    <xf numFmtId="190" fontId="5" fillId="33" borderId="0" xfId="0" applyNumberFormat="1" applyFont="1" applyFill="1" applyAlignment="1">
      <alignment/>
    </xf>
    <xf numFmtId="0" fontId="3" fillId="33" borderId="12" xfId="0" applyFont="1" applyFill="1" applyBorder="1" applyAlignment="1">
      <alignment wrapText="1"/>
    </xf>
    <xf numFmtId="190" fontId="3" fillId="33" borderId="10" xfId="0" applyNumberFormat="1" applyFont="1" applyFill="1" applyBorder="1" applyAlignment="1">
      <alignment wrapText="1"/>
    </xf>
    <xf numFmtId="190" fontId="3" fillId="33" borderId="10" xfId="0" applyNumberFormat="1" applyFont="1" applyFill="1" applyBorder="1" applyAlignment="1">
      <alignment/>
    </xf>
    <xf numFmtId="190" fontId="3" fillId="33" borderId="17" xfId="0" applyNumberFormat="1" applyFont="1" applyFill="1" applyBorder="1" applyAlignment="1">
      <alignment/>
    </xf>
    <xf numFmtId="189" fontId="3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wrapText="1"/>
    </xf>
    <xf numFmtId="190" fontId="5" fillId="33" borderId="10" xfId="0" applyNumberFormat="1" applyFont="1" applyFill="1" applyBorder="1" applyAlignment="1">
      <alignment wrapText="1"/>
    </xf>
    <xf numFmtId="190" fontId="5" fillId="33" borderId="10" xfId="0" applyNumberFormat="1" applyFont="1" applyFill="1" applyBorder="1" applyAlignment="1">
      <alignment/>
    </xf>
    <xf numFmtId="190" fontId="5" fillId="33" borderId="17" xfId="0" applyNumberFormat="1" applyFont="1" applyFill="1" applyBorder="1" applyAlignment="1">
      <alignment/>
    </xf>
    <xf numFmtId="189" fontId="34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189" fontId="5" fillId="33" borderId="1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189" fontId="33" fillId="33" borderId="1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5" fillId="33" borderId="12" xfId="0" applyFont="1" applyFill="1" applyBorder="1" applyAlignment="1">
      <alignment wrapText="1"/>
    </xf>
    <xf numFmtId="190" fontId="3" fillId="33" borderId="14" xfId="0" applyNumberFormat="1" applyFont="1" applyFill="1" applyBorder="1" applyAlignment="1">
      <alignment wrapText="1"/>
    </xf>
    <xf numFmtId="190" fontId="3" fillId="33" borderId="14" xfId="0" applyNumberFormat="1" applyFont="1" applyFill="1" applyBorder="1" applyAlignment="1">
      <alignment/>
    </xf>
    <xf numFmtId="189" fontId="3" fillId="33" borderId="14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3" fillId="33" borderId="16" xfId="0" applyFont="1" applyFill="1" applyBorder="1" applyAlignment="1">
      <alignment wrapText="1"/>
    </xf>
    <xf numFmtId="190" fontId="3" fillId="33" borderId="16" xfId="0" applyNumberFormat="1" applyFont="1" applyFill="1" applyBorder="1" applyAlignment="1">
      <alignment wrapText="1"/>
    </xf>
    <xf numFmtId="189" fontId="3" fillId="33" borderId="16" xfId="0" applyNumberFormat="1" applyFont="1" applyFill="1" applyBorder="1" applyAlignment="1">
      <alignment/>
    </xf>
    <xf numFmtId="190" fontId="3" fillId="33" borderId="16" xfId="0" applyNumberFormat="1" applyFont="1" applyFill="1" applyBorder="1" applyAlignment="1">
      <alignment/>
    </xf>
    <xf numFmtId="190" fontId="3" fillId="33" borderId="12" xfId="0" applyNumberFormat="1" applyFont="1" applyFill="1" applyBorder="1" applyAlignment="1">
      <alignment wrapText="1"/>
    </xf>
    <xf numFmtId="190" fontId="3" fillId="33" borderId="12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3" fillId="33" borderId="22" xfId="0" applyFont="1" applyFill="1" applyBorder="1" applyAlignment="1">
      <alignment wrapText="1"/>
    </xf>
    <xf numFmtId="190" fontId="3" fillId="33" borderId="22" xfId="0" applyNumberFormat="1" applyFont="1" applyFill="1" applyBorder="1" applyAlignment="1">
      <alignment wrapText="1"/>
    </xf>
    <xf numFmtId="190" fontId="3" fillId="33" borderId="23" xfId="0" applyNumberFormat="1" applyFont="1" applyFill="1" applyBorder="1" applyAlignment="1">
      <alignment horizontal="right"/>
    </xf>
    <xf numFmtId="190" fontId="3" fillId="33" borderId="24" xfId="0" applyNumberFormat="1" applyFont="1" applyFill="1" applyBorder="1" applyAlignment="1">
      <alignment/>
    </xf>
    <xf numFmtId="189" fontId="3" fillId="33" borderId="22" xfId="0" applyNumberFormat="1" applyFont="1" applyFill="1" applyBorder="1" applyAlignment="1">
      <alignment/>
    </xf>
    <xf numFmtId="189" fontId="3" fillId="33" borderId="25" xfId="0" applyNumberFormat="1" applyFont="1" applyFill="1" applyBorder="1" applyAlignment="1">
      <alignment/>
    </xf>
    <xf numFmtId="189" fontId="3" fillId="33" borderId="23" xfId="0" applyNumberFormat="1" applyFont="1" applyFill="1" applyBorder="1" applyAlignment="1">
      <alignment/>
    </xf>
    <xf numFmtId="190" fontId="3" fillId="33" borderId="26" xfId="0" applyNumberFormat="1" applyFont="1" applyFill="1" applyBorder="1" applyAlignment="1">
      <alignment/>
    </xf>
    <xf numFmtId="190" fontId="5" fillId="33" borderId="12" xfId="0" applyNumberFormat="1" applyFont="1" applyFill="1" applyBorder="1" applyAlignment="1">
      <alignment wrapText="1"/>
    </xf>
    <xf numFmtId="190" fontId="5" fillId="33" borderId="12" xfId="0" applyNumberFormat="1" applyFont="1" applyFill="1" applyBorder="1" applyAlignment="1">
      <alignment/>
    </xf>
    <xf numFmtId="190" fontId="11" fillId="33" borderId="0" xfId="0" applyNumberFormat="1" applyFont="1" applyFill="1" applyAlignment="1">
      <alignment/>
    </xf>
    <xf numFmtId="0" fontId="12" fillId="33" borderId="12" xfId="0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/>
    </xf>
    <xf numFmtId="190" fontId="12" fillId="33" borderId="10" xfId="0" applyNumberFormat="1" applyFont="1" applyFill="1" applyBorder="1" applyAlignment="1">
      <alignment/>
    </xf>
    <xf numFmtId="189" fontId="12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wrapText="1"/>
    </xf>
    <xf numFmtId="190" fontId="35" fillId="33" borderId="10" xfId="0" applyNumberFormat="1" applyFont="1" applyFill="1" applyBorder="1" applyAlignment="1">
      <alignment wrapText="1"/>
    </xf>
    <xf numFmtId="190" fontId="35" fillId="33" borderId="10" xfId="0" applyNumberFormat="1" applyFont="1" applyFill="1" applyBorder="1" applyAlignment="1">
      <alignment/>
    </xf>
    <xf numFmtId="190" fontId="35" fillId="33" borderId="17" xfId="0" applyNumberFormat="1" applyFont="1" applyFill="1" applyBorder="1" applyAlignment="1">
      <alignment/>
    </xf>
    <xf numFmtId="189" fontId="35" fillId="33" borderId="10" xfId="0" applyNumberFormat="1" applyFont="1" applyFill="1" applyBorder="1" applyAlignment="1">
      <alignment/>
    </xf>
    <xf numFmtId="189" fontId="36" fillId="33" borderId="10" xfId="0" applyNumberFormat="1" applyFont="1" applyFill="1" applyBorder="1" applyAlignment="1">
      <alignment/>
    </xf>
    <xf numFmtId="190" fontId="36" fillId="33" borderId="10" xfId="0" applyNumberFormat="1" applyFont="1" applyFill="1" applyBorder="1" applyAlignment="1">
      <alignment/>
    </xf>
    <xf numFmtId="190" fontId="0" fillId="0" borderId="0" xfId="0" applyNumberFormat="1" applyFont="1" applyFill="1" applyAlignment="1">
      <alignment/>
    </xf>
    <xf numFmtId="0" fontId="5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11" fillId="34" borderId="0" xfId="0" applyFont="1" applyFill="1" applyAlignment="1">
      <alignment/>
    </xf>
    <xf numFmtId="0" fontId="7" fillId="34" borderId="0" xfId="0" applyFont="1" applyFill="1" applyAlignment="1">
      <alignment/>
    </xf>
    <xf numFmtId="0" fontId="9" fillId="34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190" fontId="4" fillId="34" borderId="14" xfId="0" applyNumberFormat="1" applyFont="1" applyFill="1" applyBorder="1" applyAlignment="1">
      <alignment/>
    </xf>
    <xf numFmtId="190" fontId="3" fillId="34" borderId="10" xfId="0" applyNumberFormat="1" applyFont="1" applyFill="1" applyBorder="1" applyAlignment="1">
      <alignment/>
    </xf>
    <xf numFmtId="190" fontId="4" fillId="34" borderId="10" xfId="0" applyNumberFormat="1" applyFont="1" applyFill="1" applyBorder="1" applyAlignment="1">
      <alignment/>
    </xf>
    <xf numFmtId="190" fontId="5" fillId="34" borderId="10" xfId="0" applyNumberFormat="1" applyFont="1" applyFill="1" applyBorder="1" applyAlignment="1">
      <alignment/>
    </xf>
    <xf numFmtId="0" fontId="3" fillId="34" borderId="0" xfId="0" applyFont="1" applyFill="1" applyAlignment="1">
      <alignment/>
    </xf>
    <xf numFmtId="0" fontId="4" fillId="34" borderId="0" xfId="0" applyFont="1" applyFill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34" borderId="14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190" fontId="0" fillId="34" borderId="0" xfId="0" applyNumberFormat="1" applyFont="1" applyFill="1" applyAlignment="1">
      <alignment/>
    </xf>
    <xf numFmtId="190" fontId="5" fillId="34" borderId="0" xfId="0" applyNumberFormat="1" applyFont="1" applyFill="1" applyAlignment="1">
      <alignment/>
    </xf>
    <xf numFmtId="190" fontId="3" fillId="34" borderId="0" xfId="0" applyNumberFormat="1" applyFont="1" applyFill="1" applyAlignment="1">
      <alignment/>
    </xf>
    <xf numFmtId="0" fontId="5" fillId="34" borderId="0" xfId="0" applyFont="1" applyFill="1" applyBorder="1" applyAlignment="1">
      <alignment/>
    </xf>
    <xf numFmtId="190" fontId="9" fillId="34" borderId="0" xfId="0" applyNumberFormat="1" applyFont="1" applyFill="1" applyAlignment="1">
      <alignment/>
    </xf>
    <xf numFmtId="189" fontId="0" fillId="34" borderId="0" xfId="0" applyNumberFormat="1" applyFont="1" applyFill="1" applyBorder="1" applyAlignment="1">
      <alignment/>
    </xf>
    <xf numFmtId="188" fontId="0" fillId="34" borderId="0" xfId="0" applyNumberFormat="1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">
    <dxf>
      <font>
        <color indexed="10"/>
      </font>
    </dxf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575"/>
          <c:y val="-0.009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125"/>
          <c:w val="0.855"/>
          <c:h val="0.64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200580.6</c:v>
                </c:pt>
                <c:pt idx="1">
                  <c:v>190000</c:v>
                </c:pt>
                <c:pt idx="2">
                  <c:v>2776.4</c:v>
                </c:pt>
                <c:pt idx="3">
                  <c:v>7804.200000000006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28897.400000000005</c:v>
                </c:pt>
                <c:pt idx="1">
                  <c:v>28162.109999999993</c:v>
                </c:pt>
                <c:pt idx="2">
                  <c:v>312.90000000000003</c:v>
                </c:pt>
                <c:pt idx="3">
                  <c:v>422.39000000001175</c:v>
                </c:pt>
              </c:numCache>
            </c:numRef>
          </c:val>
          <c:shape val="box"/>
        </c:ser>
        <c:shape val="box"/>
        <c:axId val="40787480"/>
        <c:axId val="31543001"/>
      </c:bar3DChart>
      <c:catAx>
        <c:axId val="407874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543001"/>
        <c:crosses val="autoZero"/>
        <c:auto val="1"/>
        <c:lblOffset val="100"/>
        <c:tickLblSkip val="1"/>
        <c:noMultiLvlLbl val="0"/>
      </c:catAx>
      <c:valAx>
        <c:axId val="315430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78748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75"/>
          <c:y val="0.9295"/>
          <c:w val="0.284"/>
          <c:h val="0.05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-0.002"/>
          <c:y val="-0.00175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6"/>
          <c:y val="0.141"/>
          <c:w val="0.8435"/>
          <c:h val="0.670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7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7"/>
                <c:pt idx="0">
                  <c:v>826775</c:v>
                </c:pt>
                <c:pt idx="1">
                  <c:v>57538.8</c:v>
                </c:pt>
                <c:pt idx="2">
                  <c:v>649221.9</c:v>
                </c:pt>
                <c:pt idx="3">
                  <c:v>52816.3</c:v>
                </c:pt>
                <c:pt idx="4">
                  <c:v>88172.4</c:v>
                </c:pt>
                <c:pt idx="5">
                  <c:v>12738</c:v>
                </c:pt>
                <c:pt idx="6">
                  <c:v>23826.39999999998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7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7"/>
                <c:pt idx="0">
                  <c:v>114848.59999999999</c:v>
                </c:pt>
                <c:pt idx="1">
                  <c:v>38254.1</c:v>
                </c:pt>
                <c:pt idx="2">
                  <c:v>98518.70000000001</c:v>
                </c:pt>
                <c:pt idx="3">
                  <c:v>2987.9</c:v>
                </c:pt>
                <c:pt idx="4">
                  <c:v>11089.1</c:v>
                </c:pt>
                <c:pt idx="5">
                  <c:v>2170.8</c:v>
                </c:pt>
                <c:pt idx="6">
                  <c:v>82.09999999997945</c:v>
                </c:pt>
              </c:numCache>
            </c:numRef>
          </c:val>
          <c:shape val="box"/>
        </c:ser>
        <c:shape val="box"/>
        <c:axId val="15451554"/>
        <c:axId val="4846259"/>
      </c:bar3DChart>
      <c:catAx>
        <c:axId val="154515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846259"/>
        <c:crosses val="autoZero"/>
        <c:auto val="1"/>
        <c:lblOffset val="100"/>
        <c:tickLblSkip val="1"/>
        <c:noMultiLvlLbl val="0"/>
      </c:catAx>
      <c:valAx>
        <c:axId val="48462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45155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75"/>
          <c:y val="0.92125"/>
          <c:w val="0.297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9"/>
          <c:y val="-0.00325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5675"/>
          <c:w val="0.9295"/>
          <c:h val="0.655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3"/>
                <c:pt idx="0">
                  <c:v>424151.5</c:v>
                </c:pt>
                <c:pt idx="1">
                  <c:v>226186</c:v>
                </c:pt>
                <c:pt idx="2">
                  <c:v>424151.5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3"/>
                <c:pt idx="0">
                  <c:v>60113</c:v>
                </c:pt>
                <c:pt idx="1">
                  <c:v>41850.600000000006</c:v>
                </c:pt>
                <c:pt idx="2">
                  <c:v>60113</c:v>
                </c:pt>
              </c:numCache>
            </c:numRef>
          </c:val>
          <c:shape val="box"/>
        </c:ser>
        <c:shape val="box"/>
        <c:axId val="43616332"/>
        <c:axId val="57002669"/>
      </c:bar3DChart>
      <c:catAx>
        <c:axId val="436163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7002669"/>
        <c:crosses val="autoZero"/>
        <c:auto val="1"/>
        <c:lblOffset val="100"/>
        <c:tickLblSkip val="1"/>
        <c:noMultiLvlLbl val="0"/>
      </c:catAx>
      <c:valAx>
        <c:axId val="570026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61633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7"/>
          <c:y val="0.91675"/>
          <c:w val="0.26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825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4"/>
          <c:w val="0.87025"/>
          <c:h val="0.591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24805.1</c:v>
                </c:pt>
                <c:pt idx="1">
                  <c:v>12906.6</c:v>
                </c:pt>
                <c:pt idx="2">
                  <c:v>1783</c:v>
                </c:pt>
                <c:pt idx="3">
                  <c:v>1008</c:v>
                </c:pt>
                <c:pt idx="4">
                  <c:v>80.8</c:v>
                </c:pt>
                <c:pt idx="5">
                  <c:v>9026.699999999999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2918.7999999999997</c:v>
                </c:pt>
                <c:pt idx="1">
                  <c:v>1824.2</c:v>
                </c:pt>
                <c:pt idx="2">
                  <c:v>167.2</c:v>
                </c:pt>
                <c:pt idx="3">
                  <c:v>72</c:v>
                </c:pt>
                <c:pt idx="4">
                  <c:v>10.2</c:v>
                </c:pt>
                <c:pt idx="5">
                  <c:v>845.1999999999996</c:v>
                </c:pt>
              </c:numCache>
            </c:numRef>
          </c:val>
          <c:shape val="box"/>
        </c:ser>
        <c:shape val="box"/>
        <c:axId val="43261974"/>
        <c:axId val="53813447"/>
      </c:bar3DChart>
      <c:catAx>
        <c:axId val="432619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3813447"/>
        <c:crosses val="autoZero"/>
        <c:auto val="1"/>
        <c:lblOffset val="100"/>
        <c:tickLblSkip val="1"/>
        <c:noMultiLvlLbl val="0"/>
      </c:catAx>
      <c:valAx>
        <c:axId val="538134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26197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2225"/>
          <c:w val="0.2805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5975"/>
          <c:y val="0.0312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4775"/>
          <c:w val="0.86375"/>
          <c:h val="0.642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37135.4</c:v>
                </c:pt>
                <c:pt idx="1">
                  <c:v>20097.4</c:v>
                </c:pt>
                <c:pt idx="2">
                  <c:v>13.9</c:v>
                </c:pt>
                <c:pt idx="3">
                  <c:v>993.6</c:v>
                </c:pt>
                <c:pt idx="4">
                  <c:v>1219.9</c:v>
                </c:pt>
                <c:pt idx="5">
                  <c:v>13200</c:v>
                </c:pt>
                <c:pt idx="6">
                  <c:v>1610.6000000000004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4020.0999999999995</c:v>
                </c:pt>
                <c:pt idx="1">
                  <c:v>2882.7</c:v>
                </c:pt>
                <c:pt idx="3">
                  <c:v>34</c:v>
                </c:pt>
                <c:pt idx="4">
                  <c:v>49.5</c:v>
                </c:pt>
                <c:pt idx="5">
                  <c:v>220</c:v>
                </c:pt>
                <c:pt idx="6">
                  <c:v>833.8999999999996</c:v>
                </c:pt>
              </c:numCache>
            </c:numRef>
          </c:val>
          <c:shape val="box"/>
        </c:ser>
        <c:shape val="box"/>
        <c:axId val="14558976"/>
        <c:axId val="63921921"/>
      </c:bar3DChart>
      <c:catAx>
        <c:axId val="145589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921921"/>
        <c:crosses val="autoZero"/>
        <c:auto val="1"/>
        <c:lblOffset val="100"/>
        <c:tickLblSkip val="2"/>
        <c:noMultiLvlLbl val="0"/>
      </c:catAx>
      <c:valAx>
        <c:axId val="639219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55897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975"/>
          <c:y val="0.923"/>
          <c:w val="0.2877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-0.002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5"/>
          <c:y val="0.12425"/>
          <c:w val="0.87775"/>
          <c:h val="0.679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9264.2</c:v>
                </c:pt>
                <c:pt idx="1">
                  <c:v>3119.7</c:v>
                </c:pt>
                <c:pt idx="2">
                  <c:v>360.7</c:v>
                </c:pt>
                <c:pt idx="3">
                  <c:v>393.7</c:v>
                </c:pt>
                <c:pt idx="4">
                  <c:v>4866.6</c:v>
                </c:pt>
                <c:pt idx="5">
                  <c:v>523.5000000000007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572.8000000000001</c:v>
                </c:pt>
                <c:pt idx="1">
                  <c:v>477.4000000000001</c:v>
                </c:pt>
                <c:pt idx="3">
                  <c:v>64.1</c:v>
                </c:pt>
                <c:pt idx="5">
                  <c:v>31.299999999999983</c:v>
                </c:pt>
              </c:numCache>
            </c:numRef>
          </c:val>
          <c:shape val="box"/>
        </c:ser>
        <c:shape val="box"/>
        <c:axId val="38426378"/>
        <c:axId val="10293083"/>
      </c:bar3DChart>
      <c:catAx>
        <c:axId val="384263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0293083"/>
        <c:crosses val="autoZero"/>
        <c:auto val="1"/>
        <c:lblOffset val="100"/>
        <c:tickLblSkip val="1"/>
        <c:noMultiLvlLbl val="0"/>
      </c:catAx>
      <c:valAx>
        <c:axId val="102930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42637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325"/>
          <c:y val="0.924"/>
          <c:w val="0.28975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1"/>
          <c:y val="-0.01275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115"/>
          <c:w val="0.85425"/>
          <c:h val="0.708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46414.5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4035.8</c:v>
                </c:pt>
              </c:numCache>
            </c:numRef>
          </c:val>
          <c:shape val="box"/>
        </c:ser>
        <c:shape val="box"/>
        <c:axId val="25528884"/>
        <c:axId val="28433365"/>
      </c:bar3DChart>
      <c:catAx>
        <c:axId val="255288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8433365"/>
        <c:crosses val="autoZero"/>
        <c:auto val="1"/>
        <c:lblOffset val="100"/>
        <c:tickLblSkip val="1"/>
        <c:noMultiLvlLbl val="0"/>
      </c:catAx>
      <c:valAx>
        <c:axId val="284333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52888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75"/>
          <c:y val="0.92425"/>
          <c:w val="0.29225"/>
          <c:h val="0.05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275"/>
          <c:y val="-0.00175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6825"/>
          <c:w val="0.851"/>
          <c:h val="0.580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826775</c:v>
                </c:pt>
                <c:pt idx="1">
                  <c:v>424151.5</c:v>
                </c:pt>
                <c:pt idx="2">
                  <c:v>24805.1</c:v>
                </c:pt>
                <c:pt idx="3">
                  <c:v>37135.4</c:v>
                </c:pt>
                <c:pt idx="4">
                  <c:v>9264.2</c:v>
                </c:pt>
                <c:pt idx="5">
                  <c:v>200580.6</c:v>
                </c:pt>
                <c:pt idx="6">
                  <c:v>46414.5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114848.59999999999</c:v>
                </c:pt>
                <c:pt idx="1">
                  <c:v>60113</c:v>
                </c:pt>
                <c:pt idx="2">
                  <c:v>2918.7999999999997</c:v>
                </c:pt>
                <c:pt idx="3">
                  <c:v>4020.0999999999995</c:v>
                </c:pt>
                <c:pt idx="4">
                  <c:v>572.8000000000001</c:v>
                </c:pt>
                <c:pt idx="5">
                  <c:v>28897.400000000005</c:v>
                </c:pt>
                <c:pt idx="6">
                  <c:v>4035.8</c:v>
                </c:pt>
              </c:numCache>
            </c:numRef>
          </c:val>
          <c:shape val="box"/>
        </c:ser>
        <c:shape val="box"/>
        <c:axId val="54573694"/>
        <c:axId val="21401199"/>
      </c:bar3DChart>
      <c:catAx>
        <c:axId val="545736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401199"/>
        <c:crosses val="autoZero"/>
        <c:auto val="1"/>
        <c:lblOffset val="100"/>
        <c:tickLblSkip val="1"/>
        <c:noMultiLvlLbl val="0"/>
      </c:catAx>
      <c:valAx>
        <c:axId val="214011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57369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175"/>
          <c:y val="0.886"/>
          <c:w val="0.28575"/>
          <c:h val="0.08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275"/>
          <c:y val="-0.0032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75"/>
          <c:y val="0.3375"/>
          <c:w val="0.84125"/>
          <c:h val="0.460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фінансування'!$A$153:$A$158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фінансування'!$C$153:$C$158</c:f>
              <c:numCache>
                <c:ptCount val="6"/>
                <c:pt idx="0">
                  <c:v>889812.0000000001</c:v>
                </c:pt>
                <c:pt idx="1">
                  <c:v>110074.39999999998</c:v>
                </c:pt>
                <c:pt idx="2">
                  <c:v>54269.5</c:v>
                </c:pt>
                <c:pt idx="3">
                  <c:v>40455.4</c:v>
                </c:pt>
                <c:pt idx="4">
                  <c:v>13.9</c:v>
                </c:pt>
                <c:pt idx="5">
                  <c:v>1008564.5999999999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фінансування'!$A$153:$A$158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фінансування'!$D$153:$D$158</c:f>
              <c:numCache>
                <c:ptCount val="6"/>
                <c:pt idx="0">
                  <c:v>133940.11</c:v>
                </c:pt>
                <c:pt idx="1">
                  <c:v>13468.900000000001</c:v>
                </c:pt>
                <c:pt idx="2">
                  <c:v>3027.6</c:v>
                </c:pt>
                <c:pt idx="3">
                  <c:v>3107.7999999999997</c:v>
                </c:pt>
                <c:pt idx="4">
                  <c:v>0</c:v>
                </c:pt>
                <c:pt idx="5">
                  <c:v>81759.28999999994</c:v>
                </c:pt>
              </c:numCache>
            </c:numRef>
          </c:val>
          <c:shape val="box"/>
        </c:ser>
        <c:shape val="box"/>
        <c:axId val="58393064"/>
        <c:axId val="55775529"/>
      </c:bar3DChart>
      <c:catAx>
        <c:axId val="583930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775529"/>
        <c:crosses val="autoZero"/>
        <c:auto val="1"/>
        <c:lblOffset val="100"/>
        <c:tickLblSkip val="1"/>
        <c:noMultiLvlLbl val="0"/>
      </c:catAx>
      <c:valAx>
        <c:axId val="557755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39306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65"/>
          <c:y val="0.91175"/>
          <c:w val="0.28975"/>
          <c:h val="0.07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647700</xdr:colOff>
      <xdr:row>33</xdr:row>
      <xdr:rowOff>133350</xdr:rowOff>
    </xdr:to>
    <xdr:graphicFrame>
      <xdr:nvGraphicFramePr>
        <xdr:cNvPr id="1" name="Диаграмма 1"/>
        <xdr:cNvGraphicFramePr/>
      </xdr:nvGraphicFramePr>
      <xdr:xfrm>
        <a:off x="47625" y="66675"/>
        <a:ext cx="11572875" cy="5410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133350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67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85875" y="676275"/>
        <a:ext cx="8610600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123825</xdr:rowOff>
    </xdr:to>
    <xdr:graphicFrame>
      <xdr:nvGraphicFramePr>
        <xdr:cNvPr id="1" name="Диаграмма 2"/>
        <xdr:cNvGraphicFramePr/>
      </xdr:nvGraphicFramePr>
      <xdr:xfrm>
        <a:off x="66675" y="390525"/>
        <a:ext cx="10372725" cy="464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171450</xdr:rowOff>
    </xdr:from>
    <xdr:to>
      <xdr:col>15</xdr:col>
      <xdr:colOff>47625</xdr:colOff>
      <xdr:row>34</xdr:row>
      <xdr:rowOff>123825</xdr:rowOff>
    </xdr:to>
    <xdr:graphicFrame>
      <xdr:nvGraphicFramePr>
        <xdr:cNvPr id="1" name="Диаграмма 1"/>
        <xdr:cNvGraphicFramePr/>
      </xdr:nvGraphicFramePr>
      <xdr:xfrm>
        <a:off x="0" y="361950"/>
        <a:ext cx="10534650" cy="532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7"/>
  <sheetViews>
    <sheetView tabSelected="1" zoomScale="80" zoomScaleNormal="80" zoomScalePageLayoutView="0" workbookViewId="0" topLeftCell="A1">
      <pane xSplit="1" ySplit="5" topLeftCell="B13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L5" sqref="L5"/>
    </sheetView>
  </sheetViews>
  <sheetFormatPr defaultColWidth="9.125" defaultRowHeight="12.75"/>
  <cols>
    <col min="1" max="1" width="66.875" style="26" customWidth="1"/>
    <col min="2" max="2" width="19.00390625" style="26" customWidth="1"/>
    <col min="3" max="3" width="18.50390625" style="11" customWidth="1"/>
    <col min="4" max="4" width="19.00390625" style="11" customWidth="1"/>
    <col min="5" max="5" width="17.375" style="11" customWidth="1"/>
    <col min="6" max="7" width="19.50390625" style="11" customWidth="1"/>
    <col min="8" max="8" width="19.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50390625" style="11" bestFit="1" customWidth="1"/>
    <col min="13" max="16384" width="9.125" style="11" customWidth="1"/>
  </cols>
  <sheetData>
    <row r="1" spans="1:9" ht="63" customHeight="1">
      <c r="A1" s="170" t="s">
        <v>112</v>
      </c>
      <c r="B1" s="170"/>
      <c r="C1" s="170"/>
      <c r="D1" s="170"/>
      <c r="E1" s="170"/>
      <c r="F1" s="170"/>
      <c r="G1" s="170"/>
      <c r="H1" s="170"/>
      <c r="I1" s="170"/>
    </row>
    <row r="2" spans="1:8" ht="9.75" customHeight="1" thickBot="1">
      <c r="A2" s="19"/>
      <c r="B2" s="19"/>
      <c r="C2" s="10"/>
      <c r="D2" s="10"/>
      <c r="E2" s="10"/>
      <c r="F2" s="10"/>
      <c r="G2" s="10"/>
      <c r="H2" s="10"/>
    </row>
    <row r="3" spans="1:9" ht="29.25" customHeight="1">
      <c r="A3" s="174" t="s">
        <v>40</v>
      </c>
      <c r="B3" s="177" t="s">
        <v>106</v>
      </c>
      <c r="C3" s="171" t="s">
        <v>107</v>
      </c>
      <c r="D3" s="171" t="s">
        <v>22</v>
      </c>
      <c r="E3" s="171" t="s">
        <v>21</v>
      </c>
      <c r="F3" s="171" t="s">
        <v>108</v>
      </c>
      <c r="G3" s="171" t="s">
        <v>109</v>
      </c>
      <c r="H3" s="171" t="s">
        <v>110</v>
      </c>
      <c r="I3" s="171" t="s">
        <v>111</v>
      </c>
    </row>
    <row r="4" spans="1:9" ht="24.75" customHeight="1">
      <c r="A4" s="175"/>
      <c r="B4" s="178"/>
      <c r="C4" s="172"/>
      <c r="D4" s="172"/>
      <c r="E4" s="172"/>
      <c r="F4" s="172"/>
      <c r="G4" s="172"/>
      <c r="H4" s="172"/>
      <c r="I4" s="172"/>
    </row>
    <row r="5" spans="1:9" ht="39" customHeight="1" thickBot="1">
      <c r="A5" s="176"/>
      <c r="B5" s="179"/>
      <c r="C5" s="173"/>
      <c r="D5" s="173"/>
      <c r="E5" s="173"/>
      <c r="F5" s="173"/>
      <c r="G5" s="173"/>
      <c r="H5" s="173"/>
      <c r="I5" s="173"/>
    </row>
    <row r="6" spans="1:11" ht="18.75" thickBot="1">
      <c r="A6" s="20" t="s">
        <v>26</v>
      </c>
      <c r="B6" s="38">
        <v>137363.9</v>
      </c>
      <c r="C6" s="39">
        <v>826775</v>
      </c>
      <c r="D6" s="40">
        <f>18784.8+19.1+1564+604.6+17261.2+400.5+10875.2+151.3+0.7+306.3+593.7+110+1396.3+9132.6+10728.8+272.5+616.2+58.8+521.9+257.8+1268.1+880.8+27792.6+9963.6+1287.2</f>
        <v>114848.59999999999</v>
      </c>
      <c r="E6" s="3">
        <f>D6/D152*100</f>
        <v>48.80866726702556</v>
      </c>
      <c r="F6" s="3">
        <f>D6/B6*100</f>
        <v>83.60901226595925</v>
      </c>
      <c r="G6" s="3">
        <f aca="true" t="shared" si="0" ref="G6:G43">D6/C6*100</f>
        <v>13.891155392942455</v>
      </c>
      <c r="H6" s="40">
        <f>B6-D6</f>
        <v>22515.300000000003</v>
      </c>
      <c r="I6" s="40">
        <f aca="true" t="shared" si="1" ref="I6:I43">C6-D6</f>
        <v>711926.4</v>
      </c>
      <c r="J6" s="158"/>
      <c r="K6" s="156"/>
    </row>
    <row r="7" spans="1:12" s="94" customFormat="1" ht="18">
      <c r="A7" s="142" t="s">
        <v>81</v>
      </c>
      <c r="B7" s="143">
        <f>19179.6+19179.6</f>
        <v>38359.2</v>
      </c>
      <c r="C7" s="144">
        <v>57538.8</v>
      </c>
      <c r="D7" s="145">
        <f>8282.7+10875.2+9132.6+9963.6</f>
        <v>38254.1</v>
      </c>
      <c r="E7" s="146">
        <f>D7/D6*100</f>
        <v>33.308285865043196</v>
      </c>
      <c r="F7" s="146">
        <f>D7/B7*100</f>
        <v>99.72601096998895</v>
      </c>
      <c r="G7" s="146">
        <f>D7/C7*100</f>
        <v>66.48400731332596</v>
      </c>
      <c r="H7" s="145">
        <f>B7-D7</f>
        <v>105.09999999999854</v>
      </c>
      <c r="I7" s="145">
        <f t="shared" si="1"/>
        <v>19284.700000000004</v>
      </c>
      <c r="J7" s="159"/>
      <c r="K7" s="156"/>
      <c r="L7" s="141"/>
    </row>
    <row r="8" spans="1:12" s="93" customFormat="1" ht="18">
      <c r="A8" s="103" t="s">
        <v>3</v>
      </c>
      <c r="B8" s="128">
        <v>100870.5</v>
      </c>
      <c r="C8" s="129">
        <v>649221.9</v>
      </c>
      <c r="D8" s="105">
        <f>18784.8+17058.5+10875.2+340.5+963.8+9132.6+10728.8+20670.9+9963.6</f>
        <v>98518.70000000001</v>
      </c>
      <c r="E8" s="107">
        <f>D8/D6*100</f>
        <v>85.78136781815365</v>
      </c>
      <c r="F8" s="107">
        <f>D8/B8*100</f>
        <v>97.66849574454376</v>
      </c>
      <c r="G8" s="107">
        <f t="shared" si="0"/>
        <v>15.174888585859476</v>
      </c>
      <c r="H8" s="105">
        <f>B8-D8</f>
        <v>2351.7999999999884</v>
      </c>
      <c r="I8" s="105">
        <f t="shared" si="1"/>
        <v>550703.2</v>
      </c>
      <c r="J8" s="158"/>
      <c r="K8" s="156"/>
      <c r="L8" s="141"/>
    </row>
    <row r="9" spans="1:12" s="93" customFormat="1" ht="18" hidden="1">
      <c r="A9" s="103" t="s">
        <v>2</v>
      </c>
      <c r="B9" s="128">
        <v>0</v>
      </c>
      <c r="C9" s="129">
        <v>0</v>
      </c>
      <c r="D9" s="105"/>
      <c r="E9" s="130">
        <f>D9/D6*100</f>
        <v>0</v>
      </c>
      <c r="F9" s="107" t="e">
        <f>D9/B9*100</f>
        <v>#DIV/0!</v>
      </c>
      <c r="G9" s="107" t="e">
        <f t="shared" si="0"/>
        <v>#DIV/0!</v>
      </c>
      <c r="H9" s="105">
        <f aca="true" t="shared" si="2" ref="H9:H43">B9-D9</f>
        <v>0</v>
      </c>
      <c r="I9" s="105">
        <f t="shared" si="1"/>
        <v>0</v>
      </c>
      <c r="J9" s="158"/>
      <c r="K9" s="156"/>
      <c r="L9" s="141"/>
    </row>
    <row r="10" spans="1:12" s="93" customFormat="1" ht="18">
      <c r="A10" s="103" t="s">
        <v>1</v>
      </c>
      <c r="B10" s="128">
        <v>8970.9</v>
      </c>
      <c r="C10" s="129">
        <v>52816.3</v>
      </c>
      <c r="D10" s="147">
        <f>48.9+218.8+88.4+85.8+204.3+521.3+87.9+293.2+244.8+269.9+23.7+37.8+76.9+443.5+72.7+206+64</f>
        <v>2987.9</v>
      </c>
      <c r="E10" s="107">
        <f>D10/D6*100</f>
        <v>2.6015989746501047</v>
      </c>
      <c r="F10" s="107">
        <f aca="true" t="shared" si="3" ref="F10:F41">D10/B10*100</f>
        <v>33.30658016475493</v>
      </c>
      <c r="G10" s="107">
        <f t="shared" si="0"/>
        <v>5.657155082805875</v>
      </c>
      <c r="H10" s="105">
        <f t="shared" si="2"/>
        <v>5983</v>
      </c>
      <c r="I10" s="105">
        <f t="shared" si="1"/>
        <v>49828.4</v>
      </c>
      <c r="J10" s="158"/>
      <c r="K10" s="156"/>
      <c r="L10" s="141"/>
    </row>
    <row r="11" spans="1:12" s="93" customFormat="1" ht="18">
      <c r="A11" s="103" t="s">
        <v>0</v>
      </c>
      <c r="B11" s="128">
        <v>24343.5</v>
      </c>
      <c r="C11" s="129">
        <v>88172.4</v>
      </c>
      <c r="D11" s="148">
        <f>19.1+640.6+125.5+108.2+60+64.1+0.7+97.8+43.1+15+139.1+27.1+31.6+324.4+180.4+824.6+269.5+6895.2+1223.1</f>
        <v>11089.1</v>
      </c>
      <c r="E11" s="107">
        <f>D11/D6*100</f>
        <v>9.655407205660323</v>
      </c>
      <c r="F11" s="107">
        <f t="shared" si="3"/>
        <v>45.55261158009325</v>
      </c>
      <c r="G11" s="107">
        <f t="shared" si="0"/>
        <v>12.57661127518362</v>
      </c>
      <c r="H11" s="105">
        <f t="shared" si="2"/>
        <v>13254.4</v>
      </c>
      <c r="I11" s="105">
        <f t="shared" si="1"/>
        <v>77083.29999999999</v>
      </c>
      <c r="J11" s="158"/>
      <c r="K11" s="156"/>
      <c r="L11" s="141"/>
    </row>
    <row r="12" spans="1:12" s="93" customFormat="1" ht="18">
      <c r="A12" s="103" t="s">
        <v>14</v>
      </c>
      <c r="B12" s="128">
        <v>2281.2</v>
      </c>
      <c r="C12" s="129">
        <v>12738</v>
      </c>
      <c r="D12" s="105">
        <f>874.5+251.8+346.3+159.7+538.5</f>
        <v>2170.8</v>
      </c>
      <c r="E12" s="107">
        <f>D12/D6*100</f>
        <v>1.8901405850833188</v>
      </c>
      <c r="F12" s="107">
        <f t="shared" si="3"/>
        <v>95.1604418726986</v>
      </c>
      <c r="G12" s="107">
        <f t="shared" si="0"/>
        <v>17.041921808761188</v>
      </c>
      <c r="H12" s="105">
        <f>B12-D12</f>
        <v>110.39999999999964</v>
      </c>
      <c r="I12" s="105">
        <f t="shared" si="1"/>
        <v>10567.2</v>
      </c>
      <c r="J12" s="158"/>
      <c r="K12" s="156"/>
      <c r="L12" s="141"/>
    </row>
    <row r="13" spans="1:12" s="93" customFormat="1" ht="18.75" thickBot="1">
      <c r="A13" s="103" t="s">
        <v>27</v>
      </c>
      <c r="B13" s="129">
        <f>B6-B8-B9-B10-B11-B12</f>
        <v>897.7999999999929</v>
      </c>
      <c r="C13" s="129">
        <f>C6-C8-C9-C10-C11-C12</f>
        <v>23826.39999999998</v>
      </c>
      <c r="D13" s="129">
        <f>D6-D8-D9-D10-D11-D12</f>
        <v>82.09999999997945</v>
      </c>
      <c r="E13" s="107">
        <f>D13/D6*100</f>
        <v>0.07148541645259886</v>
      </c>
      <c r="F13" s="107">
        <f t="shared" si="3"/>
        <v>9.14457562931389</v>
      </c>
      <c r="G13" s="107">
        <f t="shared" si="0"/>
        <v>0.34457576469789614</v>
      </c>
      <c r="H13" s="105">
        <f t="shared" si="2"/>
        <v>815.7000000000135</v>
      </c>
      <c r="I13" s="105">
        <f t="shared" si="1"/>
        <v>23744.3</v>
      </c>
      <c r="J13" s="158"/>
      <c r="K13" s="156"/>
      <c r="L13" s="141"/>
    </row>
    <row r="14" spans="1:13" s="32" customFormat="1" ht="18.75" customHeight="1" hidden="1">
      <c r="A14" s="74" t="s">
        <v>61</v>
      </c>
      <c r="B14" s="72"/>
      <c r="C14" s="72"/>
      <c r="D14" s="72"/>
      <c r="E14" s="73"/>
      <c r="F14" s="73" t="e">
        <f>D14/B14*100</f>
        <v>#DIV/0!</v>
      </c>
      <c r="G14" s="73" t="e">
        <f>D14/C14*100</f>
        <v>#DIV/0!</v>
      </c>
      <c r="H14" s="79">
        <f>B14-D14</f>
        <v>0</v>
      </c>
      <c r="I14" s="79">
        <f>C14-D14</f>
        <v>0</v>
      </c>
      <c r="J14" s="159"/>
      <c r="K14" s="11"/>
      <c r="L14" s="11"/>
      <c r="M14" s="11"/>
    </row>
    <row r="15" spans="1:13" s="32" customFormat="1" ht="18.75" customHeight="1" hidden="1">
      <c r="A15" s="74" t="s">
        <v>58</v>
      </c>
      <c r="B15" s="72"/>
      <c r="C15" s="72"/>
      <c r="D15" s="72"/>
      <c r="E15" s="73"/>
      <c r="F15" s="73" t="e">
        <f>D15/B15*100</f>
        <v>#DIV/0!</v>
      </c>
      <c r="G15" s="73" t="e">
        <f>D15/C15*100</f>
        <v>#DIV/0!</v>
      </c>
      <c r="H15" s="79">
        <f>B15-D15</f>
        <v>0</v>
      </c>
      <c r="I15" s="79">
        <f>C15-D15</f>
        <v>0</v>
      </c>
      <c r="J15" s="159"/>
      <c r="K15" s="11"/>
      <c r="L15" s="11"/>
      <c r="M15" s="11"/>
    </row>
    <row r="16" spans="1:13" s="32" customFormat="1" ht="18.75" hidden="1" thickBot="1">
      <c r="A16" s="74" t="s">
        <v>59</v>
      </c>
      <c r="B16" s="72"/>
      <c r="C16" s="72"/>
      <c r="D16" s="72"/>
      <c r="E16" s="73"/>
      <c r="F16" s="73" t="e">
        <f>D16/B16*100</f>
        <v>#DIV/0!</v>
      </c>
      <c r="G16" s="73" t="e">
        <f>D16/C16*100</f>
        <v>#DIV/0!</v>
      </c>
      <c r="H16" s="79">
        <f>B16-D16</f>
        <v>0</v>
      </c>
      <c r="I16" s="79">
        <f>C16-D16</f>
        <v>0</v>
      </c>
      <c r="J16" s="159"/>
      <c r="K16" s="11"/>
      <c r="L16" s="11"/>
      <c r="M16" s="11"/>
    </row>
    <row r="17" spans="1:13" s="32" customFormat="1" ht="18.75" hidden="1" thickBot="1">
      <c r="A17" s="74" t="s">
        <v>60</v>
      </c>
      <c r="B17" s="72"/>
      <c r="C17" s="72"/>
      <c r="D17" s="72"/>
      <c r="E17" s="73"/>
      <c r="F17" s="73" t="e">
        <f>D17/B17*100</f>
        <v>#DIV/0!</v>
      </c>
      <c r="G17" s="73" t="e">
        <f>D17/C17*100</f>
        <v>#DIV/0!</v>
      </c>
      <c r="H17" s="79">
        <f>B17-D17</f>
        <v>0</v>
      </c>
      <c r="I17" s="79">
        <f>C17-D17</f>
        <v>0</v>
      </c>
      <c r="J17" s="159"/>
      <c r="K17" s="11"/>
      <c r="L17" s="11"/>
      <c r="M17" s="11"/>
    </row>
    <row r="18" spans="1:11" ht="18.75" thickBot="1">
      <c r="A18" s="20" t="s">
        <v>19</v>
      </c>
      <c r="B18" s="38">
        <f>11439.4+B19-25.4+11464.7</f>
        <v>66884.7</v>
      </c>
      <c r="C18" s="39">
        <v>424151.5</v>
      </c>
      <c r="D18" s="40">
        <f>10253+9229.9+6482.3+67.5+83+34.1+81.4+107.8+99.9+131.7+68+568.1+670.4+12.4+333.8+10669.5+2627.5+1015+0.9+691.6+930.5+6776.6+9161.8+16.3</f>
        <v>60113</v>
      </c>
      <c r="E18" s="3">
        <f>D18/D152*100</f>
        <v>25.546984599052212</v>
      </c>
      <c r="F18" s="3">
        <f>D18/B18*100</f>
        <v>89.8755619745622</v>
      </c>
      <c r="G18" s="3">
        <f t="shared" si="0"/>
        <v>14.17253033409053</v>
      </c>
      <c r="H18" s="40">
        <f>B18-D18</f>
        <v>6771.699999999997</v>
      </c>
      <c r="I18" s="40">
        <f t="shared" si="1"/>
        <v>364038.5</v>
      </c>
      <c r="J18" s="158"/>
      <c r="K18" s="156"/>
    </row>
    <row r="19" spans="1:13" s="94" customFormat="1" ht="18">
      <c r="A19" s="142" t="s">
        <v>82</v>
      </c>
      <c r="B19" s="143">
        <f>22003+22003</f>
        <v>44006</v>
      </c>
      <c r="C19" s="144">
        <v>226186</v>
      </c>
      <c r="D19" s="145">
        <f>10253+8836.7+83+81.4+107.8+99.9+68+670.4+333.8+10669.5+517.6+20+0.9+930.5+9161.8+16.3</f>
        <v>41850.600000000006</v>
      </c>
      <c r="E19" s="146">
        <f>D19/D18*100</f>
        <v>69.61988255452233</v>
      </c>
      <c r="F19" s="146">
        <f t="shared" si="3"/>
        <v>95.1020315411535</v>
      </c>
      <c r="G19" s="146">
        <f t="shared" si="0"/>
        <v>18.502736685736522</v>
      </c>
      <c r="H19" s="145">
        <f t="shared" si="2"/>
        <v>2155.399999999994</v>
      </c>
      <c r="I19" s="145">
        <f t="shared" si="1"/>
        <v>184335.4</v>
      </c>
      <c r="J19" s="159"/>
      <c r="K19" s="156"/>
      <c r="L19" s="93"/>
      <c r="M19" s="93"/>
    </row>
    <row r="20" spans="1:11" s="93" customFormat="1" ht="18" hidden="1">
      <c r="A20" s="103" t="s">
        <v>5</v>
      </c>
      <c r="B20" s="128"/>
      <c r="C20" s="129"/>
      <c r="D20" s="105"/>
      <c r="E20" s="107">
        <f>D20/D18*100</f>
        <v>0</v>
      </c>
      <c r="F20" s="107" t="e">
        <f t="shared" si="3"/>
        <v>#DIV/0!</v>
      </c>
      <c r="G20" s="107" t="e">
        <f t="shared" si="0"/>
        <v>#DIV/0!</v>
      </c>
      <c r="H20" s="105">
        <f t="shared" si="2"/>
        <v>0</v>
      </c>
      <c r="I20" s="105">
        <f t="shared" si="1"/>
        <v>0</v>
      </c>
      <c r="J20" s="158"/>
      <c r="K20" s="156">
        <f>C20-B20</f>
        <v>0</v>
      </c>
    </row>
    <row r="21" spans="1:11" s="93" customFormat="1" ht="18" hidden="1">
      <c r="A21" s="103" t="s">
        <v>2</v>
      </c>
      <c r="B21" s="128"/>
      <c r="C21" s="129"/>
      <c r="D21" s="105"/>
      <c r="E21" s="107">
        <f>D21/D18*100</f>
        <v>0</v>
      </c>
      <c r="F21" s="107" t="e">
        <f t="shared" si="3"/>
        <v>#DIV/0!</v>
      </c>
      <c r="G21" s="107" t="e">
        <f t="shared" si="0"/>
        <v>#DIV/0!</v>
      </c>
      <c r="H21" s="105">
        <f t="shared" si="2"/>
        <v>0</v>
      </c>
      <c r="I21" s="105">
        <f t="shared" si="1"/>
        <v>0</v>
      </c>
      <c r="J21" s="158"/>
      <c r="K21" s="156">
        <f>C21-B21</f>
        <v>0</v>
      </c>
    </row>
    <row r="22" spans="1:11" s="93" customFormat="1" ht="18" hidden="1">
      <c r="A22" s="103" t="s">
        <v>1</v>
      </c>
      <c r="B22" s="128"/>
      <c r="C22" s="129"/>
      <c r="D22" s="105"/>
      <c r="E22" s="107">
        <f>D22/D18*100</f>
        <v>0</v>
      </c>
      <c r="F22" s="107" t="e">
        <f t="shared" si="3"/>
        <v>#DIV/0!</v>
      </c>
      <c r="G22" s="107" t="e">
        <f t="shared" si="0"/>
        <v>#DIV/0!</v>
      </c>
      <c r="H22" s="105">
        <f t="shared" si="2"/>
        <v>0</v>
      </c>
      <c r="I22" s="105">
        <f t="shared" si="1"/>
        <v>0</v>
      </c>
      <c r="J22" s="158"/>
      <c r="K22" s="156">
        <f>C22-B22</f>
        <v>0</v>
      </c>
    </row>
    <row r="23" spans="1:11" s="93" customFormat="1" ht="18" hidden="1">
      <c r="A23" s="103" t="s">
        <v>0</v>
      </c>
      <c r="B23" s="128"/>
      <c r="C23" s="129"/>
      <c r="D23" s="105"/>
      <c r="E23" s="107">
        <f>D23/D18*100</f>
        <v>0</v>
      </c>
      <c r="F23" s="107" t="e">
        <f t="shared" si="3"/>
        <v>#DIV/0!</v>
      </c>
      <c r="G23" s="107" t="e">
        <f t="shared" si="0"/>
        <v>#DIV/0!</v>
      </c>
      <c r="H23" s="105">
        <f t="shared" si="2"/>
        <v>0</v>
      </c>
      <c r="I23" s="105">
        <f t="shared" si="1"/>
        <v>0</v>
      </c>
      <c r="J23" s="158"/>
      <c r="K23" s="156">
        <f>C23-B23</f>
        <v>0</v>
      </c>
    </row>
    <row r="24" spans="1:11" s="93" customFormat="1" ht="18" hidden="1">
      <c r="A24" s="103" t="s">
        <v>14</v>
      </c>
      <c r="B24" s="128"/>
      <c r="C24" s="129"/>
      <c r="D24" s="105"/>
      <c r="E24" s="107">
        <f>D24/D18*100</f>
        <v>0</v>
      </c>
      <c r="F24" s="107" t="e">
        <f t="shared" si="3"/>
        <v>#DIV/0!</v>
      </c>
      <c r="G24" s="107" t="e">
        <f t="shared" si="0"/>
        <v>#DIV/0!</v>
      </c>
      <c r="H24" s="105">
        <f t="shared" si="2"/>
        <v>0</v>
      </c>
      <c r="I24" s="105">
        <f t="shared" si="1"/>
        <v>0</v>
      </c>
      <c r="J24" s="158"/>
      <c r="K24" s="156">
        <f>C24-B24</f>
        <v>0</v>
      </c>
    </row>
    <row r="25" spans="1:11" s="93" customFormat="1" ht="18.75" thickBot="1">
      <c r="A25" s="103" t="s">
        <v>27</v>
      </c>
      <c r="B25" s="129">
        <f>B18</f>
        <v>66884.7</v>
      </c>
      <c r="C25" s="129">
        <f>C18</f>
        <v>424151.5</v>
      </c>
      <c r="D25" s="129">
        <f>D18</f>
        <v>60113</v>
      </c>
      <c r="E25" s="107">
        <f>D25/D18*100</f>
        <v>100</v>
      </c>
      <c r="F25" s="107">
        <f t="shared" si="3"/>
        <v>89.8755619745622</v>
      </c>
      <c r="G25" s="107">
        <f t="shared" si="0"/>
        <v>14.17253033409053</v>
      </c>
      <c r="H25" s="105">
        <f t="shared" si="2"/>
        <v>6771.699999999997</v>
      </c>
      <c r="I25" s="105">
        <f t="shared" si="1"/>
        <v>364038.5</v>
      </c>
      <c r="J25" s="158"/>
      <c r="K25" s="156"/>
    </row>
    <row r="26" spans="1:11" ht="55.5" hidden="1" thickBot="1">
      <c r="A26" s="74" t="s">
        <v>69</v>
      </c>
      <c r="B26" s="36"/>
      <c r="C26" s="36"/>
      <c r="D26" s="36"/>
      <c r="E26" s="1"/>
      <c r="F26" s="1" t="e">
        <f t="shared" si="3"/>
        <v>#DIV/0!</v>
      </c>
      <c r="G26" s="1" t="e">
        <f t="shared" si="0"/>
        <v>#DIV/0!</v>
      </c>
      <c r="H26" s="37">
        <f t="shared" si="2"/>
        <v>0</v>
      </c>
      <c r="I26" s="37">
        <f t="shared" si="1"/>
        <v>0</v>
      </c>
      <c r="J26" s="158"/>
      <c r="K26" s="156">
        <f aca="true" t="shared" si="4" ref="K26:K32">C26-B26</f>
        <v>0</v>
      </c>
    </row>
    <row r="27" spans="1:11" ht="36.75" customHeight="1" hidden="1">
      <c r="A27" s="74" t="s">
        <v>70</v>
      </c>
      <c r="B27" s="36"/>
      <c r="C27" s="36"/>
      <c r="D27" s="36"/>
      <c r="E27" s="1"/>
      <c r="F27" s="1" t="e">
        <f t="shared" si="3"/>
        <v>#DIV/0!</v>
      </c>
      <c r="G27" s="1" t="e">
        <f t="shared" si="0"/>
        <v>#DIV/0!</v>
      </c>
      <c r="H27" s="37">
        <f t="shared" si="2"/>
        <v>0</v>
      </c>
      <c r="I27" s="37">
        <f t="shared" si="1"/>
        <v>0</v>
      </c>
      <c r="J27" s="158"/>
      <c r="K27" s="156">
        <f t="shared" si="4"/>
        <v>0</v>
      </c>
    </row>
    <row r="28" spans="1:11" ht="18.75" hidden="1" thickBot="1">
      <c r="A28" s="74" t="s">
        <v>71</v>
      </c>
      <c r="B28" s="36"/>
      <c r="C28" s="36"/>
      <c r="D28" s="36"/>
      <c r="E28" s="1"/>
      <c r="F28" s="1" t="e">
        <f t="shared" si="3"/>
        <v>#DIV/0!</v>
      </c>
      <c r="G28" s="1" t="e">
        <f t="shared" si="0"/>
        <v>#DIV/0!</v>
      </c>
      <c r="H28" s="37">
        <f t="shared" si="2"/>
        <v>0</v>
      </c>
      <c r="I28" s="37">
        <f t="shared" si="1"/>
        <v>0</v>
      </c>
      <c r="J28" s="158"/>
      <c r="K28" s="156">
        <f t="shared" si="4"/>
        <v>0</v>
      </c>
    </row>
    <row r="29" spans="1:11" ht="39.75" customHeight="1" hidden="1">
      <c r="A29" s="74" t="s">
        <v>72</v>
      </c>
      <c r="B29" s="36"/>
      <c r="C29" s="36"/>
      <c r="D29" s="36"/>
      <c r="E29" s="1"/>
      <c r="F29" s="1" t="e">
        <f t="shared" si="3"/>
        <v>#DIV/0!</v>
      </c>
      <c r="G29" s="1" t="e">
        <f t="shared" si="0"/>
        <v>#DIV/0!</v>
      </c>
      <c r="H29" s="37">
        <f t="shared" si="2"/>
        <v>0</v>
      </c>
      <c r="I29" s="37">
        <f t="shared" si="1"/>
        <v>0</v>
      </c>
      <c r="J29" s="158"/>
      <c r="K29" s="156">
        <f t="shared" si="4"/>
        <v>0</v>
      </c>
    </row>
    <row r="30" spans="1:11" ht="37.5" customHeight="1" hidden="1">
      <c r="A30" s="74" t="s">
        <v>73</v>
      </c>
      <c r="B30" s="36"/>
      <c r="C30" s="36"/>
      <c r="D30" s="36"/>
      <c r="E30" s="1"/>
      <c r="F30" s="1" t="e">
        <f>D30/B30*100</f>
        <v>#DIV/0!</v>
      </c>
      <c r="G30" s="1" t="e">
        <f t="shared" si="0"/>
        <v>#DIV/0!</v>
      </c>
      <c r="H30" s="37">
        <f t="shared" si="2"/>
        <v>0</v>
      </c>
      <c r="I30" s="37">
        <f t="shared" si="1"/>
        <v>0</v>
      </c>
      <c r="J30" s="158"/>
      <c r="K30" s="156">
        <f t="shared" si="4"/>
        <v>0</v>
      </c>
    </row>
    <row r="31" spans="1:11" ht="36" customHeight="1" hidden="1">
      <c r="A31" s="74" t="s">
        <v>74</v>
      </c>
      <c r="B31" s="36"/>
      <c r="C31" s="36"/>
      <c r="D31" s="36"/>
      <c r="E31" s="1"/>
      <c r="F31" s="1" t="e">
        <f t="shared" si="3"/>
        <v>#DIV/0!</v>
      </c>
      <c r="G31" s="1" t="e">
        <f t="shared" si="0"/>
        <v>#DIV/0!</v>
      </c>
      <c r="H31" s="37">
        <f t="shared" si="2"/>
        <v>0</v>
      </c>
      <c r="I31" s="37">
        <f t="shared" si="1"/>
        <v>0</v>
      </c>
      <c r="J31" s="158"/>
      <c r="K31" s="156">
        <f t="shared" si="4"/>
        <v>0</v>
      </c>
    </row>
    <row r="32" spans="1:11" ht="18.75" hidden="1" thickBot="1">
      <c r="A32" s="74" t="s">
        <v>75</v>
      </c>
      <c r="B32" s="36"/>
      <c r="C32" s="36"/>
      <c r="D32" s="36"/>
      <c r="E32" s="1"/>
      <c r="F32" s="1" t="e">
        <f t="shared" si="3"/>
        <v>#DIV/0!</v>
      </c>
      <c r="G32" s="1" t="e">
        <f t="shared" si="0"/>
        <v>#DIV/0!</v>
      </c>
      <c r="H32" s="37">
        <f t="shared" si="2"/>
        <v>0</v>
      </c>
      <c r="I32" s="37">
        <f t="shared" si="1"/>
        <v>0</v>
      </c>
      <c r="J32" s="158"/>
      <c r="K32" s="156">
        <f t="shared" si="4"/>
        <v>0</v>
      </c>
    </row>
    <row r="33" spans="1:11" ht="18.75" thickBot="1">
      <c r="A33" s="20" t="s">
        <v>17</v>
      </c>
      <c r="B33" s="38">
        <v>3826.4</v>
      </c>
      <c r="C33" s="39">
        <v>24805.1</v>
      </c>
      <c r="D33" s="42">
        <f>364.6+44.8+35.8+191.3+646.1+25.1+164.7+15+5.1+531+54.3+2.5+15.8+202.7+1.6+22.1+596.2+0.1</f>
        <v>2918.7999999999997</v>
      </c>
      <c r="E33" s="3">
        <f>D33/D152*100</f>
        <v>1.240439483102051</v>
      </c>
      <c r="F33" s="3">
        <f>D33/B33*100</f>
        <v>76.28057704369641</v>
      </c>
      <c r="G33" s="3">
        <f t="shared" si="0"/>
        <v>11.766935025458473</v>
      </c>
      <c r="H33" s="40">
        <f t="shared" si="2"/>
        <v>907.6000000000004</v>
      </c>
      <c r="I33" s="40">
        <f t="shared" si="1"/>
        <v>21886.3</v>
      </c>
      <c r="J33" s="158"/>
      <c r="K33" s="156"/>
    </row>
    <row r="34" spans="1:11" s="93" customFormat="1" ht="18">
      <c r="A34" s="103" t="s">
        <v>3</v>
      </c>
      <c r="B34" s="128">
        <v>1958.5</v>
      </c>
      <c r="C34" s="129">
        <v>12906.6</v>
      </c>
      <c r="D34" s="105">
        <f>364.6+548.1+389.3+522.2</f>
        <v>1824.2</v>
      </c>
      <c r="E34" s="107">
        <f>D34/D33*100</f>
        <v>62.49828696724682</v>
      </c>
      <c r="F34" s="107">
        <f t="shared" si="3"/>
        <v>93.1427112586163</v>
      </c>
      <c r="G34" s="107">
        <f t="shared" si="0"/>
        <v>14.133853997179738</v>
      </c>
      <c r="H34" s="105">
        <f t="shared" si="2"/>
        <v>134.29999999999995</v>
      </c>
      <c r="I34" s="105">
        <f t="shared" si="1"/>
        <v>11082.4</v>
      </c>
      <c r="J34" s="158"/>
      <c r="K34" s="156"/>
    </row>
    <row r="35" spans="1:11" s="93" customFormat="1" ht="18" hidden="1">
      <c r="A35" s="103" t="s">
        <v>1</v>
      </c>
      <c r="B35" s="128"/>
      <c r="C35" s="129"/>
      <c r="D35" s="105"/>
      <c r="E35" s="107">
        <f>D35/D33*100</f>
        <v>0</v>
      </c>
      <c r="F35" s="107" t="e">
        <f t="shared" si="3"/>
        <v>#DIV/0!</v>
      </c>
      <c r="G35" s="107" t="e">
        <f t="shared" si="0"/>
        <v>#DIV/0!</v>
      </c>
      <c r="H35" s="105">
        <f t="shared" si="2"/>
        <v>0</v>
      </c>
      <c r="I35" s="105">
        <f t="shared" si="1"/>
        <v>0</v>
      </c>
      <c r="J35" s="158"/>
      <c r="K35" s="156"/>
    </row>
    <row r="36" spans="1:11" s="93" customFormat="1" ht="18">
      <c r="A36" s="103" t="s">
        <v>0</v>
      </c>
      <c r="B36" s="128">
        <v>398.2</v>
      </c>
      <c r="C36" s="129">
        <v>1783</v>
      </c>
      <c r="D36" s="105">
        <f>0.3+11.3+141.7+12.6+0.9+0.4</f>
        <v>167.2</v>
      </c>
      <c r="E36" s="107">
        <f>D36/D33*100</f>
        <v>5.72838152665479</v>
      </c>
      <c r="F36" s="107">
        <f t="shared" si="3"/>
        <v>41.988950276243095</v>
      </c>
      <c r="G36" s="107">
        <f t="shared" si="0"/>
        <v>9.377453729669098</v>
      </c>
      <c r="H36" s="105">
        <f t="shared" si="2"/>
        <v>231</v>
      </c>
      <c r="I36" s="105">
        <f t="shared" si="1"/>
        <v>1615.8</v>
      </c>
      <c r="J36" s="158"/>
      <c r="K36" s="156"/>
    </row>
    <row r="37" spans="1:12" s="94" customFormat="1" ht="18">
      <c r="A37" s="119" t="s">
        <v>7</v>
      </c>
      <c r="B37" s="139">
        <v>102.7</v>
      </c>
      <c r="C37" s="140">
        <v>1008</v>
      </c>
      <c r="D37" s="110">
        <f>44.8+25.1+1.6+0.5</f>
        <v>72</v>
      </c>
      <c r="E37" s="114">
        <f>D37/D33*100</f>
        <v>2.466767164588187</v>
      </c>
      <c r="F37" s="114">
        <f t="shared" si="3"/>
        <v>70.10710808179162</v>
      </c>
      <c r="G37" s="114">
        <f t="shared" si="0"/>
        <v>7.142857142857142</v>
      </c>
      <c r="H37" s="110">
        <f t="shared" si="2"/>
        <v>30.700000000000003</v>
      </c>
      <c r="I37" s="110">
        <f t="shared" si="1"/>
        <v>936</v>
      </c>
      <c r="J37" s="159"/>
      <c r="K37" s="156"/>
      <c r="L37" s="141"/>
    </row>
    <row r="38" spans="1:11" s="93" customFormat="1" ht="18">
      <c r="A38" s="103" t="s">
        <v>14</v>
      </c>
      <c r="B38" s="128">
        <v>10.2</v>
      </c>
      <c r="C38" s="129">
        <v>80.8</v>
      </c>
      <c r="D38" s="129">
        <f>5.1+5.1</f>
        <v>10.2</v>
      </c>
      <c r="E38" s="107">
        <f>D38/D33*100</f>
        <v>0.34945868164999316</v>
      </c>
      <c r="F38" s="107">
        <f t="shared" si="3"/>
        <v>100</v>
      </c>
      <c r="G38" s="107">
        <f t="shared" si="0"/>
        <v>12.623762376237623</v>
      </c>
      <c r="H38" s="105">
        <f t="shared" si="2"/>
        <v>0</v>
      </c>
      <c r="I38" s="105">
        <f t="shared" si="1"/>
        <v>70.6</v>
      </c>
      <c r="J38" s="158"/>
      <c r="K38" s="156"/>
    </row>
    <row r="39" spans="1:11" s="93" customFormat="1" ht="18.75" thickBot="1">
      <c r="A39" s="103" t="s">
        <v>27</v>
      </c>
      <c r="B39" s="128">
        <f>B33-B34-B36-B37-B35-B38</f>
        <v>1356.8</v>
      </c>
      <c r="C39" s="128">
        <f>C33-C34-C36-C37-C35-C38</f>
        <v>9026.699999999999</v>
      </c>
      <c r="D39" s="128">
        <f>D33-D34-D36-D37-D35-D38</f>
        <v>845.1999999999996</v>
      </c>
      <c r="E39" s="107">
        <f>D39/D33*100</f>
        <v>28.957105659860204</v>
      </c>
      <c r="F39" s="107">
        <f t="shared" si="3"/>
        <v>62.29363207547167</v>
      </c>
      <c r="G39" s="107">
        <f t="shared" si="0"/>
        <v>9.363333222550875</v>
      </c>
      <c r="H39" s="105">
        <f>B39-D39</f>
        <v>511.60000000000036</v>
      </c>
      <c r="I39" s="105">
        <f t="shared" si="1"/>
        <v>8181.499999999999</v>
      </c>
      <c r="J39" s="158"/>
      <c r="K39" s="156"/>
    </row>
    <row r="40" spans="1:11" ht="18.75" hidden="1" thickBot="1">
      <c r="A40" s="74" t="s">
        <v>66</v>
      </c>
      <c r="B40" s="75"/>
      <c r="C40" s="75"/>
      <c r="D40" s="75"/>
      <c r="E40" s="73"/>
      <c r="F40" s="73" t="e">
        <f t="shared" si="3"/>
        <v>#DIV/0!</v>
      </c>
      <c r="G40" s="73" t="e">
        <f t="shared" si="0"/>
        <v>#DIV/0!</v>
      </c>
      <c r="H40" s="79">
        <f>B40-D40</f>
        <v>0</v>
      </c>
      <c r="I40" s="79">
        <f t="shared" si="1"/>
        <v>0</v>
      </c>
      <c r="J40" s="158"/>
      <c r="K40" s="156">
        <f>C40-B40</f>
        <v>0</v>
      </c>
    </row>
    <row r="41" spans="1:11" ht="18.75" hidden="1" thickBot="1">
      <c r="A41" s="74" t="s">
        <v>67</v>
      </c>
      <c r="B41" s="75"/>
      <c r="C41" s="75"/>
      <c r="D41" s="75"/>
      <c r="E41" s="73"/>
      <c r="F41" s="73" t="e">
        <f t="shared" si="3"/>
        <v>#DIV/0!</v>
      </c>
      <c r="G41" s="73" t="e">
        <f t="shared" si="0"/>
        <v>#DIV/0!</v>
      </c>
      <c r="H41" s="79">
        <f>B41-D41</f>
        <v>0</v>
      </c>
      <c r="I41" s="79">
        <f t="shared" si="1"/>
        <v>0</v>
      </c>
      <c r="J41" s="158"/>
      <c r="K41" s="156">
        <f>C41-B41</f>
        <v>0</v>
      </c>
    </row>
    <row r="42" spans="1:11" ht="18.75" hidden="1" thickBot="1">
      <c r="A42" s="74" t="s">
        <v>68</v>
      </c>
      <c r="B42" s="75"/>
      <c r="C42" s="75"/>
      <c r="D42" s="75"/>
      <c r="E42" s="73"/>
      <c r="F42" s="73"/>
      <c r="G42" s="73" t="e">
        <f t="shared" si="0"/>
        <v>#DIV/0!</v>
      </c>
      <c r="H42" s="79">
        <f>B42-D42</f>
        <v>0</v>
      </c>
      <c r="I42" s="79">
        <f t="shared" si="1"/>
        <v>0</v>
      </c>
      <c r="J42" s="158"/>
      <c r="K42" s="156">
        <f>C42-B42</f>
        <v>0</v>
      </c>
    </row>
    <row r="43" spans="1:11" ht="18.75" thickBot="1">
      <c r="A43" s="12" t="s">
        <v>16</v>
      </c>
      <c r="B43" s="76">
        <v>372</v>
      </c>
      <c r="C43" s="39">
        <v>1126.9</v>
      </c>
      <c r="D43" s="40">
        <f>63.9+1.1+0.6+70.8</f>
        <v>136.39999999999998</v>
      </c>
      <c r="E43" s="3">
        <f>D43/D152*100</f>
        <v>0.05796763926789083</v>
      </c>
      <c r="F43" s="3">
        <f>D43/B43*100</f>
        <v>36.66666666666666</v>
      </c>
      <c r="G43" s="3">
        <f t="shared" si="0"/>
        <v>12.104002129736442</v>
      </c>
      <c r="H43" s="40">
        <f t="shared" si="2"/>
        <v>235.60000000000002</v>
      </c>
      <c r="I43" s="40">
        <f t="shared" si="1"/>
        <v>990.5000000000001</v>
      </c>
      <c r="J43" s="158"/>
      <c r="K43" s="156"/>
    </row>
    <row r="44" spans="1:11" ht="12" customHeight="1" thickBot="1">
      <c r="A44" s="23"/>
      <c r="B44" s="46"/>
      <c r="C44" s="47"/>
      <c r="D44" s="48"/>
      <c r="E44" s="7"/>
      <c r="F44" s="7"/>
      <c r="G44" s="7"/>
      <c r="H44" s="48"/>
      <c r="I44" s="48"/>
      <c r="J44" s="158"/>
      <c r="K44" s="156"/>
    </row>
    <row r="45" spans="1:11" ht="18.75" thickBot="1">
      <c r="A45" s="20" t="s">
        <v>44</v>
      </c>
      <c r="B45" s="38">
        <v>2052.8</v>
      </c>
      <c r="C45" s="39">
        <v>13576.3</v>
      </c>
      <c r="D45" s="40">
        <f>237.1+562.8+52.3+349.2+679.9</f>
        <v>1881.2999999999997</v>
      </c>
      <c r="E45" s="3">
        <f>D45/D152*100</f>
        <v>0.799519939550462</v>
      </c>
      <c r="F45" s="3">
        <f>D45/B45*100</f>
        <v>91.64555728760715</v>
      </c>
      <c r="G45" s="3">
        <f aca="true" t="shared" si="5" ref="G45:G76">D45/C45*100</f>
        <v>13.857236507737747</v>
      </c>
      <c r="H45" s="40">
        <f>B45-D45</f>
        <v>171.50000000000045</v>
      </c>
      <c r="I45" s="40">
        <f aca="true" t="shared" si="6" ref="I45:I77">C45-D45</f>
        <v>11695</v>
      </c>
      <c r="J45" s="158"/>
      <c r="K45" s="156"/>
    </row>
    <row r="46" spans="1:11" s="93" customFormat="1" ht="18">
      <c r="A46" s="103" t="s">
        <v>3</v>
      </c>
      <c r="B46" s="128">
        <v>1833.1</v>
      </c>
      <c r="C46" s="129">
        <v>12256.4</v>
      </c>
      <c r="D46" s="105">
        <f>237.1+551.8+334.1+652.5</f>
        <v>1775.5</v>
      </c>
      <c r="E46" s="107">
        <f>D46/D45*100</f>
        <v>94.37622920321056</v>
      </c>
      <c r="F46" s="107">
        <f aca="true" t="shared" si="7" ref="F46:F74">D46/B46*100</f>
        <v>96.85778189951448</v>
      </c>
      <c r="G46" s="107">
        <f t="shared" si="5"/>
        <v>14.486309193564178</v>
      </c>
      <c r="H46" s="105">
        <f aca="true" t="shared" si="8" ref="H46:H74">B46-D46</f>
        <v>57.59999999999991</v>
      </c>
      <c r="I46" s="105">
        <f t="shared" si="6"/>
        <v>10480.9</v>
      </c>
      <c r="J46" s="158"/>
      <c r="K46" s="156"/>
    </row>
    <row r="47" spans="1:11" s="93" customFormat="1" ht="18" hidden="1">
      <c r="A47" s="103" t="s">
        <v>2</v>
      </c>
      <c r="B47" s="128">
        <v>0</v>
      </c>
      <c r="C47" s="129">
        <v>0</v>
      </c>
      <c r="D47" s="105"/>
      <c r="E47" s="107">
        <f>D47/D45*100</f>
        <v>0</v>
      </c>
      <c r="F47" s="107" t="e">
        <f t="shared" si="7"/>
        <v>#DIV/0!</v>
      </c>
      <c r="G47" s="107" t="e">
        <f t="shared" si="5"/>
        <v>#DIV/0!</v>
      </c>
      <c r="H47" s="105">
        <f t="shared" si="8"/>
        <v>0</v>
      </c>
      <c r="I47" s="105">
        <f t="shared" si="6"/>
        <v>0</v>
      </c>
      <c r="J47" s="158"/>
      <c r="K47" s="156"/>
    </row>
    <row r="48" spans="1:11" s="93" customFormat="1" ht="18">
      <c r="A48" s="103" t="s">
        <v>1</v>
      </c>
      <c r="B48" s="128">
        <v>10.1</v>
      </c>
      <c r="C48" s="129">
        <v>98.9</v>
      </c>
      <c r="D48" s="105">
        <v>5.7</v>
      </c>
      <c r="E48" s="107">
        <f>D48/D45*100</f>
        <v>0.3029819805453676</v>
      </c>
      <c r="F48" s="107">
        <f t="shared" si="7"/>
        <v>56.43564356435644</v>
      </c>
      <c r="G48" s="107">
        <f t="shared" si="5"/>
        <v>5.763397371081901</v>
      </c>
      <c r="H48" s="105">
        <f t="shared" si="8"/>
        <v>4.3999999999999995</v>
      </c>
      <c r="I48" s="105">
        <f t="shared" si="6"/>
        <v>93.2</v>
      </c>
      <c r="J48" s="158"/>
      <c r="K48" s="156"/>
    </row>
    <row r="49" spans="1:11" s="93" customFormat="1" ht="18">
      <c r="A49" s="103" t="s">
        <v>0</v>
      </c>
      <c r="B49" s="128">
        <v>173.7</v>
      </c>
      <c r="C49" s="129">
        <v>879.8</v>
      </c>
      <c r="D49" s="105">
        <f>7.3+51.9+12.7</f>
        <v>71.89999999999999</v>
      </c>
      <c r="E49" s="107">
        <f>D49/D45*100</f>
        <v>3.821825333545952</v>
      </c>
      <c r="F49" s="107">
        <f t="shared" si="7"/>
        <v>41.393206678180775</v>
      </c>
      <c r="G49" s="107">
        <f t="shared" si="5"/>
        <v>8.172311889065696</v>
      </c>
      <c r="H49" s="105">
        <f t="shared" si="8"/>
        <v>101.8</v>
      </c>
      <c r="I49" s="105">
        <f t="shared" si="6"/>
        <v>807.9</v>
      </c>
      <c r="J49" s="158"/>
      <c r="K49" s="156"/>
    </row>
    <row r="50" spans="1:11" s="93" customFormat="1" ht="18.75" thickBot="1">
      <c r="A50" s="103" t="s">
        <v>27</v>
      </c>
      <c r="B50" s="129">
        <f>B45-B46-B49-B48-B47</f>
        <v>35.90000000000028</v>
      </c>
      <c r="C50" s="129">
        <f>C45-C46-C49-C48-C47</f>
        <v>341.1999999999997</v>
      </c>
      <c r="D50" s="129">
        <f>D45-D46-D49-D48-D47</f>
        <v>28.199999999999736</v>
      </c>
      <c r="E50" s="107">
        <f>D50/D45*100</f>
        <v>1.4989634826981204</v>
      </c>
      <c r="F50" s="107">
        <f t="shared" si="7"/>
        <v>78.55153203342483</v>
      </c>
      <c r="G50" s="107">
        <f t="shared" si="5"/>
        <v>8.264947245017515</v>
      </c>
      <c r="H50" s="105">
        <f t="shared" si="8"/>
        <v>7.700000000000546</v>
      </c>
      <c r="I50" s="105">
        <f t="shared" si="6"/>
        <v>312.99999999999994</v>
      </c>
      <c r="J50" s="158"/>
      <c r="K50" s="156"/>
    </row>
    <row r="51" spans="1:11" ht="18.75" thickBot="1">
      <c r="A51" s="20" t="s">
        <v>4</v>
      </c>
      <c r="B51" s="38">
        <v>4625.7</v>
      </c>
      <c r="C51" s="39">
        <v>37135.4</v>
      </c>
      <c r="D51" s="40">
        <f>632.9+35.2+911.5+180.2+1+93.6+110+157.4+908.3+5.2+0.4+827.7+156.7</f>
        <v>4020.0999999999995</v>
      </c>
      <c r="E51" s="3">
        <f>D51/D152*100</f>
        <v>1.708472922440234</v>
      </c>
      <c r="F51" s="3">
        <f>D51/B51*100</f>
        <v>86.90792744881854</v>
      </c>
      <c r="G51" s="3">
        <f t="shared" si="5"/>
        <v>10.825519585085926</v>
      </c>
      <c r="H51" s="40">
        <f>B51-D51</f>
        <v>605.6000000000004</v>
      </c>
      <c r="I51" s="40">
        <f t="shared" si="6"/>
        <v>33115.3</v>
      </c>
      <c r="J51" s="158"/>
      <c r="K51" s="156"/>
    </row>
    <row r="52" spans="1:11" s="93" customFormat="1" ht="18">
      <c r="A52" s="103" t="s">
        <v>3</v>
      </c>
      <c r="B52" s="128">
        <v>2926.3</v>
      </c>
      <c r="C52" s="129">
        <v>20097.4</v>
      </c>
      <c r="D52" s="105">
        <f>632.9+34.3+767.3+737.6+710.6</f>
        <v>2882.7</v>
      </c>
      <c r="E52" s="107">
        <f>D52/D51*100</f>
        <v>71.70717146339643</v>
      </c>
      <c r="F52" s="107">
        <f t="shared" si="7"/>
        <v>98.51006390322249</v>
      </c>
      <c r="G52" s="107">
        <f t="shared" si="5"/>
        <v>14.343646441828295</v>
      </c>
      <c r="H52" s="105">
        <f t="shared" si="8"/>
        <v>43.600000000000364</v>
      </c>
      <c r="I52" s="105">
        <f t="shared" si="6"/>
        <v>17214.7</v>
      </c>
      <c r="J52" s="158"/>
      <c r="K52" s="156"/>
    </row>
    <row r="53" spans="1:11" s="93" customFormat="1" ht="18">
      <c r="A53" s="103" t="s">
        <v>2</v>
      </c>
      <c r="B53" s="128">
        <v>0</v>
      </c>
      <c r="C53" s="129">
        <v>13.9</v>
      </c>
      <c r="D53" s="105"/>
      <c r="E53" s="107">
        <f>D53/D51*100</f>
        <v>0</v>
      </c>
      <c r="F53" s="107" t="e">
        <f>D53/B53*100</f>
        <v>#DIV/0!</v>
      </c>
      <c r="G53" s="107">
        <f t="shared" si="5"/>
        <v>0</v>
      </c>
      <c r="H53" s="105">
        <f t="shared" si="8"/>
        <v>0</v>
      </c>
      <c r="I53" s="105">
        <f t="shared" si="6"/>
        <v>13.9</v>
      </c>
      <c r="J53" s="158"/>
      <c r="K53" s="156"/>
    </row>
    <row r="54" spans="1:11" s="93" customFormat="1" ht="18">
      <c r="A54" s="103" t="s">
        <v>1</v>
      </c>
      <c r="B54" s="128">
        <v>71.1</v>
      </c>
      <c r="C54" s="129">
        <v>993.6</v>
      </c>
      <c r="D54" s="105">
        <f>0.2+4.2+9+4.7+9.6+6.3</f>
        <v>34</v>
      </c>
      <c r="E54" s="107">
        <f>D54/D51*100</f>
        <v>0.8457501057187634</v>
      </c>
      <c r="F54" s="107">
        <f t="shared" si="7"/>
        <v>47.81997187060479</v>
      </c>
      <c r="G54" s="107">
        <f t="shared" si="5"/>
        <v>3.421900161030596</v>
      </c>
      <c r="H54" s="105">
        <f t="shared" si="8"/>
        <v>37.099999999999994</v>
      </c>
      <c r="I54" s="105">
        <f t="shared" si="6"/>
        <v>959.6</v>
      </c>
      <c r="J54" s="158"/>
      <c r="K54" s="156"/>
    </row>
    <row r="55" spans="1:11" s="93" customFormat="1" ht="18">
      <c r="A55" s="103" t="s">
        <v>0</v>
      </c>
      <c r="B55" s="128">
        <v>177.5</v>
      </c>
      <c r="C55" s="129">
        <v>1219.9</v>
      </c>
      <c r="D55" s="105">
        <f>0.5+1+2.8+12.3+8.3+0.5+0.4+8.7+15</f>
        <v>49.5</v>
      </c>
      <c r="E55" s="107">
        <f>D55/D51*100</f>
        <v>1.231312653914082</v>
      </c>
      <c r="F55" s="107">
        <f t="shared" si="7"/>
        <v>27.887323943661972</v>
      </c>
      <c r="G55" s="107">
        <f t="shared" si="5"/>
        <v>4.05770964833183</v>
      </c>
      <c r="H55" s="105">
        <f t="shared" si="8"/>
        <v>128</v>
      </c>
      <c r="I55" s="105">
        <f t="shared" si="6"/>
        <v>1170.4</v>
      </c>
      <c r="J55" s="158"/>
      <c r="K55" s="156"/>
    </row>
    <row r="56" spans="1:11" s="93" customFormat="1" ht="18">
      <c r="A56" s="103" t="s">
        <v>14</v>
      </c>
      <c r="B56" s="128">
        <v>220</v>
      </c>
      <c r="C56" s="129">
        <v>13200</v>
      </c>
      <c r="D56" s="129">
        <f>110+110</f>
        <v>220</v>
      </c>
      <c r="E56" s="107">
        <f>D56/D51*100</f>
        <v>5.472500684062586</v>
      </c>
      <c r="F56" s="107">
        <f>D56/B56*100</f>
        <v>100</v>
      </c>
      <c r="G56" s="107">
        <f>D56/C56*100</f>
        <v>1.6666666666666667</v>
      </c>
      <c r="H56" s="105">
        <f t="shared" si="8"/>
        <v>0</v>
      </c>
      <c r="I56" s="105">
        <f t="shared" si="6"/>
        <v>12980</v>
      </c>
      <c r="J56" s="158"/>
      <c r="K56" s="156"/>
    </row>
    <row r="57" spans="1:11" s="93" customFormat="1" ht="18.75" thickBot="1">
      <c r="A57" s="103" t="s">
        <v>27</v>
      </c>
      <c r="B57" s="129">
        <f>B51-B52-B55-B54-B53-B56</f>
        <v>1230.7999999999997</v>
      </c>
      <c r="C57" s="129">
        <f>C51-C52-C55-C54-C53-C56</f>
        <v>1610.6000000000004</v>
      </c>
      <c r="D57" s="129">
        <f>D51-D52-D55-D54-D53-D56</f>
        <v>833.8999999999996</v>
      </c>
      <c r="E57" s="107">
        <f>D57/D51*100</f>
        <v>20.743265092908132</v>
      </c>
      <c r="F57" s="107">
        <f t="shared" si="7"/>
        <v>67.7526811829704</v>
      </c>
      <c r="G57" s="107">
        <f t="shared" si="5"/>
        <v>51.7757357506519</v>
      </c>
      <c r="H57" s="105">
        <f>B57-D57</f>
        <v>396.9000000000001</v>
      </c>
      <c r="I57" s="105">
        <f>C57-D57</f>
        <v>776.7000000000007</v>
      </c>
      <c r="J57" s="158"/>
      <c r="K57" s="156"/>
    </row>
    <row r="58" spans="1:11" s="32" customFormat="1" ht="18.75" hidden="1" thickBot="1">
      <c r="A58" s="74" t="s">
        <v>65</v>
      </c>
      <c r="B58" s="72"/>
      <c r="C58" s="72"/>
      <c r="D58" s="72"/>
      <c r="E58" s="1"/>
      <c r="F58" s="73" t="e">
        <f t="shared" si="7"/>
        <v>#DIV/0!</v>
      </c>
      <c r="G58" s="73" t="e">
        <f t="shared" si="5"/>
        <v>#DIV/0!</v>
      </c>
      <c r="H58" s="79">
        <f t="shared" si="8"/>
        <v>0</v>
      </c>
      <c r="I58" s="79">
        <f>C58-D58</f>
        <v>0</v>
      </c>
      <c r="J58" s="159"/>
      <c r="K58" s="156">
        <f>C58-B58</f>
        <v>0</v>
      </c>
    </row>
    <row r="59" spans="1:11" ht="18.75" thickBot="1">
      <c r="A59" s="20" t="s">
        <v>6</v>
      </c>
      <c r="B59" s="38">
        <v>613.2</v>
      </c>
      <c r="C59" s="39">
        <v>9264.2</v>
      </c>
      <c r="D59" s="40">
        <f>87.7+79.1+87.8+43.2+40.5+47.6+13+155.9+18</f>
        <v>572.8000000000001</v>
      </c>
      <c r="E59" s="3">
        <f>D59/D152*100</f>
        <v>0.24343008630973514</v>
      </c>
      <c r="F59" s="3">
        <f>D59/B59*100</f>
        <v>93.4116112198304</v>
      </c>
      <c r="G59" s="3">
        <f t="shared" si="5"/>
        <v>6.182940782798299</v>
      </c>
      <c r="H59" s="40">
        <f>B59-D59</f>
        <v>40.39999999999998</v>
      </c>
      <c r="I59" s="40">
        <f t="shared" si="6"/>
        <v>8691.400000000001</v>
      </c>
      <c r="J59" s="158"/>
      <c r="K59" s="156"/>
    </row>
    <row r="60" spans="1:11" s="93" customFormat="1" ht="18">
      <c r="A60" s="103" t="s">
        <v>3</v>
      </c>
      <c r="B60" s="128">
        <v>488.4</v>
      </c>
      <c r="C60" s="129">
        <v>3119.7</v>
      </c>
      <c r="D60" s="105">
        <f>77.7+79.1+76.9+40.5+47.3+155.9</f>
        <v>477.4000000000001</v>
      </c>
      <c r="E60" s="107">
        <f>D60/D59*100</f>
        <v>83.34497206703911</v>
      </c>
      <c r="F60" s="107">
        <f t="shared" si="7"/>
        <v>97.74774774774777</v>
      </c>
      <c r="G60" s="107">
        <f t="shared" si="5"/>
        <v>15.302753469884928</v>
      </c>
      <c r="H60" s="105">
        <f t="shared" si="8"/>
        <v>10.999999999999886</v>
      </c>
      <c r="I60" s="105">
        <f t="shared" si="6"/>
        <v>2642.2999999999997</v>
      </c>
      <c r="J60" s="158"/>
      <c r="K60" s="156"/>
    </row>
    <row r="61" spans="1:11" s="93" customFormat="1" ht="18">
      <c r="A61" s="103" t="s">
        <v>1</v>
      </c>
      <c r="B61" s="128">
        <v>0</v>
      </c>
      <c r="C61" s="129">
        <v>360.7</v>
      </c>
      <c r="D61" s="105"/>
      <c r="E61" s="107">
        <f>D61/D59*100</f>
        <v>0</v>
      </c>
      <c r="F61" s="107" t="e">
        <f>D61/B61*100</f>
        <v>#DIV/0!</v>
      </c>
      <c r="G61" s="107">
        <f t="shared" si="5"/>
        <v>0</v>
      </c>
      <c r="H61" s="105">
        <f t="shared" si="8"/>
        <v>0</v>
      </c>
      <c r="I61" s="105">
        <f t="shared" si="6"/>
        <v>360.7</v>
      </c>
      <c r="J61" s="158"/>
      <c r="K61" s="156"/>
    </row>
    <row r="62" spans="1:11" s="93" customFormat="1" ht="18">
      <c r="A62" s="103" t="s">
        <v>0</v>
      </c>
      <c r="B62" s="128">
        <v>87.1</v>
      </c>
      <c r="C62" s="129">
        <v>393.7</v>
      </c>
      <c r="D62" s="105">
        <f>10.9+43.2+13-3</f>
        <v>64.1</v>
      </c>
      <c r="E62" s="107">
        <f>D62/D59*100</f>
        <v>11.190642458100557</v>
      </c>
      <c r="F62" s="107">
        <f t="shared" si="7"/>
        <v>73.59357060849598</v>
      </c>
      <c r="G62" s="107">
        <f t="shared" si="5"/>
        <v>16.281432562865124</v>
      </c>
      <c r="H62" s="105">
        <f t="shared" si="8"/>
        <v>23</v>
      </c>
      <c r="I62" s="105">
        <f t="shared" si="6"/>
        <v>329.6</v>
      </c>
      <c r="J62" s="158"/>
      <c r="K62" s="156"/>
    </row>
    <row r="63" spans="1:11" s="93" customFormat="1" ht="18">
      <c r="A63" s="103" t="s">
        <v>14</v>
      </c>
      <c r="B63" s="128">
        <v>0</v>
      </c>
      <c r="C63" s="129">
        <v>4866.6</v>
      </c>
      <c r="D63" s="105"/>
      <c r="E63" s="107">
        <f>D63/D59*100</f>
        <v>0</v>
      </c>
      <c r="F63" s="107" t="e">
        <f t="shared" si="7"/>
        <v>#DIV/0!</v>
      </c>
      <c r="G63" s="107">
        <f t="shared" si="5"/>
        <v>0</v>
      </c>
      <c r="H63" s="105">
        <f t="shared" si="8"/>
        <v>0</v>
      </c>
      <c r="I63" s="105">
        <f t="shared" si="6"/>
        <v>4866.6</v>
      </c>
      <c r="J63" s="158"/>
      <c r="K63" s="156"/>
    </row>
    <row r="64" spans="1:11" s="93" customFormat="1" ht="18.75" thickBot="1">
      <c r="A64" s="103" t="s">
        <v>27</v>
      </c>
      <c r="B64" s="129">
        <f>B59-B60-B62-B63-B61</f>
        <v>37.700000000000074</v>
      </c>
      <c r="C64" s="129">
        <f>C59-C60-C62-C63-C61</f>
        <v>523.5000000000007</v>
      </c>
      <c r="D64" s="129">
        <f>D59-D60-D62-D63-D61</f>
        <v>31.299999999999983</v>
      </c>
      <c r="E64" s="107">
        <f>D64/D59*100</f>
        <v>5.4643854748603315</v>
      </c>
      <c r="F64" s="107">
        <f t="shared" si="7"/>
        <v>83.02387267904489</v>
      </c>
      <c r="G64" s="107">
        <f t="shared" si="5"/>
        <v>5.9789875835721</v>
      </c>
      <c r="H64" s="105">
        <f t="shared" si="8"/>
        <v>6.400000000000091</v>
      </c>
      <c r="I64" s="105">
        <f t="shared" si="6"/>
        <v>492.2000000000007</v>
      </c>
      <c r="J64" s="158"/>
      <c r="K64" s="156"/>
    </row>
    <row r="65" spans="1:11" s="32" customFormat="1" ht="18.75" hidden="1" thickBot="1">
      <c r="A65" s="74" t="s">
        <v>76</v>
      </c>
      <c r="B65" s="72"/>
      <c r="C65" s="72"/>
      <c r="D65" s="72"/>
      <c r="E65" s="73"/>
      <c r="F65" s="73" t="e">
        <f>D65/B65*100</f>
        <v>#DIV/0!</v>
      </c>
      <c r="G65" s="73" t="e">
        <f>D65/C65*100</f>
        <v>#DIV/0!</v>
      </c>
      <c r="H65" s="79">
        <f t="shared" si="8"/>
        <v>0</v>
      </c>
      <c r="I65" s="79">
        <f t="shared" si="6"/>
        <v>0</v>
      </c>
      <c r="J65" s="159"/>
      <c r="K65" s="156">
        <f>C65-B65</f>
        <v>0</v>
      </c>
    </row>
    <row r="66" spans="1:11" s="32" customFormat="1" ht="18.75" hidden="1" thickBot="1">
      <c r="A66" s="74" t="s">
        <v>62</v>
      </c>
      <c r="B66" s="72"/>
      <c r="C66" s="72"/>
      <c r="D66" s="72"/>
      <c r="E66" s="73"/>
      <c r="F66" s="73" t="e">
        <f t="shared" si="7"/>
        <v>#DIV/0!</v>
      </c>
      <c r="G66" s="73" t="e">
        <f t="shared" si="5"/>
        <v>#DIV/0!</v>
      </c>
      <c r="H66" s="79">
        <f t="shared" si="8"/>
        <v>0</v>
      </c>
      <c r="I66" s="79">
        <f t="shared" si="6"/>
        <v>0</v>
      </c>
      <c r="J66" s="159"/>
      <c r="K66" s="156">
        <f>C66-B66</f>
        <v>0</v>
      </c>
    </row>
    <row r="67" spans="1:11" s="32" customFormat="1" ht="18.75" hidden="1" thickBot="1">
      <c r="A67" s="74" t="s">
        <v>63</v>
      </c>
      <c r="B67" s="72"/>
      <c r="C67" s="72"/>
      <c r="D67" s="72"/>
      <c r="E67" s="73"/>
      <c r="F67" s="73" t="e">
        <f t="shared" si="7"/>
        <v>#DIV/0!</v>
      </c>
      <c r="G67" s="73" t="e">
        <f t="shared" si="5"/>
        <v>#DIV/0!</v>
      </c>
      <c r="H67" s="79">
        <f t="shared" si="8"/>
        <v>0</v>
      </c>
      <c r="I67" s="79">
        <f t="shared" si="6"/>
        <v>0</v>
      </c>
      <c r="J67" s="159"/>
      <c r="K67" s="156">
        <f>C67-B67</f>
        <v>0</v>
      </c>
    </row>
    <row r="68" spans="1:11" s="32" customFormat="1" ht="18.75" hidden="1" thickBot="1">
      <c r="A68" s="74" t="s">
        <v>64</v>
      </c>
      <c r="B68" s="72"/>
      <c r="C68" s="72"/>
      <c r="D68" s="72"/>
      <c r="E68" s="73"/>
      <c r="F68" s="73" t="e">
        <f t="shared" si="7"/>
        <v>#DIV/0!</v>
      </c>
      <c r="G68" s="73" t="e">
        <f t="shared" si="5"/>
        <v>#DIV/0!</v>
      </c>
      <c r="H68" s="79">
        <f t="shared" si="8"/>
        <v>0</v>
      </c>
      <c r="I68" s="79">
        <f t="shared" si="6"/>
        <v>0</v>
      </c>
      <c r="J68" s="159"/>
      <c r="K68" s="156">
        <f>C68-B68</f>
        <v>0</v>
      </c>
    </row>
    <row r="69" spans="1:11" ht="18.75" thickBot="1">
      <c r="A69" s="20" t="s">
        <v>20</v>
      </c>
      <c r="B69" s="39">
        <f>B70+B71</f>
        <v>35</v>
      </c>
      <c r="C69" s="39">
        <f>C70+C71</f>
        <v>585.9000000000001</v>
      </c>
      <c r="D69" s="40">
        <f>D70+D71</f>
        <v>0</v>
      </c>
      <c r="E69" s="30">
        <f>D69/D152*100</f>
        <v>0</v>
      </c>
      <c r="F69" s="3">
        <f>D69/B69*100</f>
        <v>0</v>
      </c>
      <c r="G69" s="3">
        <f t="shared" si="5"/>
        <v>0</v>
      </c>
      <c r="H69" s="40">
        <f>B69-D69</f>
        <v>35</v>
      </c>
      <c r="I69" s="40">
        <f t="shared" si="6"/>
        <v>585.9000000000001</v>
      </c>
      <c r="J69" s="158"/>
      <c r="K69" s="156"/>
    </row>
    <row r="70" spans="1:11" s="93" customFormat="1" ht="18">
      <c r="A70" s="103" t="s">
        <v>8</v>
      </c>
      <c r="B70" s="128">
        <v>0</v>
      </c>
      <c r="C70" s="129">
        <v>219.5</v>
      </c>
      <c r="D70" s="105"/>
      <c r="E70" s="107" t="e">
        <f>D70/D69*100</f>
        <v>#DIV/0!</v>
      </c>
      <c r="F70" s="107" t="e">
        <f t="shared" si="7"/>
        <v>#DIV/0!</v>
      </c>
      <c r="G70" s="107">
        <f t="shared" si="5"/>
        <v>0</v>
      </c>
      <c r="H70" s="105">
        <f t="shared" si="8"/>
        <v>0</v>
      </c>
      <c r="I70" s="105">
        <f t="shared" si="6"/>
        <v>219.5</v>
      </c>
      <c r="J70" s="158"/>
      <c r="K70" s="156"/>
    </row>
    <row r="71" spans="1:11" s="93" customFormat="1" ht="18.75" thickBot="1">
      <c r="A71" s="103" t="s">
        <v>9</v>
      </c>
      <c r="B71" s="128">
        <v>35</v>
      </c>
      <c r="C71" s="129">
        <f>331.6+34.8</f>
        <v>366.40000000000003</v>
      </c>
      <c r="D71" s="105"/>
      <c r="E71" s="107" t="e">
        <f>D71/D70*100</f>
        <v>#DIV/0!</v>
      </c>
      <c r="F71" s="107">
        <f t="shared" si="7"/>
        <v>0</v>
      </c>
      <c r="G71" s="107">
        <f t="shared" si="5"/>
        <v>0</v>
      </c>
      <c r="H71" s="105">
        <f t="shared" si="8"/>
        <v>35</v>
      </c>
      <c r="I71" s="105">
        <f t="shared" si="6"/>
        <v>366.40000000000003</v>
      </c>
      <c r="J71" s="158"/>
      <c r="K71" s="156"/>
    </row>
    <row r="72" spans="1:11" ht="36.75" hidden="1" thickBot="1">
      <c r="A72" s="12" t="s">
        <v>41</v>
      </c>
      <c r="B72" s="45"/>
      <c r="C72" s="39">
        <f>C73+C74+C75+C76</f>
        <v>0</v>
      </c>
      <c r="D72" s="39">
        <f>D73+D74+D75+D76</f>
        <v>0</v>
      </c>
      <c r="E72" s="3">
        <f>D72/D152*100</f>
        <v>0</v>
      </c>
      <c r="F72" s="3" t="e">
        <f>D72/B72*100</f>
        <v>#DIV/0!</v>
      </c>
      <c r="G72" s="3" t="e">
        <f t="shared" si="5"/>
        <v>#DIV/0!</v>
      </c>
      <c r="H72" s="40">
        <f>B72-D72</f>
        <v>0</v>
      </c>
      <c r="I72" s="40">
        <f t="shared" si="6"/>
        <v>0</v>
      </c>
      <c r="J72" s="158"/>
      <c r="K72" s="156"/>
    </row>
    <row r="73" spans="1:11" ht="18" hidden="1">
      <c r="A73" s="16" t="s">
        <v>45</v>
      </c>
      <c r="B73" s="43"/>
      <c r="C73" s="49"/>
      <c r="D73" s="41"/>
      <c r="E73" s="27" t="e">
        <f>D73/D72*100</f>
        <v>#DIV/0!</v>
      </c>
      <c r="F73" s="1" t="e">
        <f t="shared" si="7"/>
        <v>#DIV/0!</v>
      </c>
      <c r="G73" s="1" t="e">
        <f t="shared" si="5"/>
        <v>#DIV/0!</v>
      </c>
      <c r="H73" s="37">
        <f t="shared" si="8"/>
        <v>0</v>
      </c>
      <c r="I73" s="37">
        <f t="shared" si="6"/>
        <v>0</v>
      </c>
      <c r="J73" s="158"/>
      <c r="K73" s="156"/>
    </row>
    <row r="74" spans="1:11" ht="18" hidden="1">
      <c r="A74" s="16" t="s">
        <v>46</v>
      </c>
      <c r="B74" s="43"/>
      <c r="C74" s="49"/>
      <c r="D74" s="41"/>
      <c r="E74" s="27" t="e">
        <f>D74/D72*100</f>
        <v>#DIV/0!</v>
      </c>
      <c r="F74" s="1" t="e">
        <f t="shared" si="7"/>
        <v>#DIV/0!</v>
      </c>
      <c r="G74" s="1" t="e">
        <f t="shared" si="5"/>
        <v>#DIV/0!</v>
      </c>
      <c r="H74" s="37">
        <f t="shared" si="8"/>
        <v>0</v>
      </c>
      <c r="I74" s="37">
        <f t="shared" si="6"/>
        <v>0</v>
      </c>
      <c r="J74" s="158"/>
      <c r="K74" s="156"/>
    </row>
    <row r="75" spans="1:11" ht="18" hidden="1">
      <c r="A75" s="22" t="s">
        <v>34</v>
      </c>
      <c r="B75" s="50"/>
      <c r="C75" s="51"/>
      <c r="D75" s="52"/>
      <c r="E75" s="27" t="e">
        <f>D75/D72*100</f>
        <v>#DIV/0!</v>
      </c>
      <c r="F75" s="27"/>
      <c r="G75" s="1" t="e">
        <f t="shared" si="5"/>
        <v>#DIV/0!</v>
      </c>
      <c r="H75" s="37"/>
      <c r="I75" s="37">
        <f t="shared" si="6"/>
        <v>0</v>
      </c>
      <c r="J75" s="158"/>
      <c r="K75" s="156"/>
    </row>
    <row r="76" spans="1:11" ht="18.75" hidden="1" thickBot="1">
      <c r="A76" s="22" t="s">
        <v>42</v>
      </c>
      <c r="B76" s="50"/>
      <c r="C76" s="51"/>
      <c r="D76" s="52"/>
      <c r="E76" s="27" t="e">
        <f>D76/D72*100</f>
        <v>#DIV/0!</v>
      </c>
      <c r="F76" s="27"/>
      <c r="G76" s="1" t="e">
        <f t="shared" si="5"/>
        <v>#DIV/0!</v>
      </c>
      <c r="H76" s="37"/>
      <c r="I76" s="37">
        <f t="shared" si="6"/>
        <v>0</v>
      </c>
      <c r="J76" s="158"/>
      <c r="K76" s="156"/>
    </row>
    <row r="77" spans="1:11" s="32" customFormat="1" ht="18.75" thickBot="1">
      <c r="A77" s="23" t="s">
        <v>13</v>
      </c>
      <c r="B77" s="46">
        <v>2833.3</v>
      </c>
      <c r="C77" s="53">
        <v>17000</v>
      </c>
      <c r="D77" s="54"/>
      <c r="E77" s="34"/>
      <c r="F77" s="34"/>
      <c r="G77" s="34"/>
      <c r="H77" s="54">
        <f>B77-D77</f>
        <v>2833.3</v>
      </c>
      <c r="I77" s="54">
        <f t="shared" si="6"/>
        <v>17000</v>
      </c>
      <c r="J77" s="159"/>
      <c r="K77" s="156"/>
    </row>
    <row r="78" spans="1:11" ht="8.25" customHeight="1" thickBot="1">
      <c r="A78" s="16"/>
      <c r="B78" s="43"/>
      <c r="C78" s="51"/>
      <c r="D78" s="52"/>
      <c r="E78" s="6"/>
      <c r="F78" s="6"/>
      <c r="G78" s="6"/>
      <c r="H78" s="52"/>
      <c r="I78" s="86"/>
      <c r="J78" s="158"/>
      <c r="K78" s="156"/>
    </row>
    <row r="79" spans="1:11" ht="18.75" customHeight="1" hidden="1" thickBot="1">
      <c r="A79" s="12" t="s">
        <v>56</v>
      </c>
      <c r="B79" s="45"/>
      <c r="C79" s="39"/>
      <c r="D79" s="39"/>
      <c r="E79" s="3">
        <f>D79/D152*100</f>
        <v>0</v>
      </c>
      <c r="F79" s="3" t="e">
        <f>D79/B79*100</f>
        <v>#DIV/0!</v>
      </c>
      <c r="G79" s="3" t="e">
        <f aca="true" t="shared" si="9" ref="G79:G93">D79/C79*100</f>
        <v>#DIV/0!</v>
      </c>
      <c r="H79" s="40">
        <f>B79-D79</f>
        <v>0</v>
      </c>
      <c r="I79" s="40">
        <f aca="true" t="shared" si="10" ref="I79:I93">C79-D79</f>
        <v>0</v>
      </c>
      <c r="J79" s="158"/>
      <c r="K79" s="156"/>
    </row>
    <row r="80" spans="1:11" s="8" customFormat="1" ht="18" hidden="1">
      <c r="A80" s="9" t="s">
        <v>55</v>
      </c>
      <c r="B80" s="55"/>
      <c r="C80" s="36"/>
      <c r="D80" s="37"/>
      <c r="E80" s="71"/>
      <c r="F80" s="1" t="e">
        <f>D80/B80*100</f>
        <v>#DIV/0!</v>
      </c>
      <c r="G80" s="1" t="e">
        <f t="shared" si="9"/>
        <v>#DIV/0!</v>
      </c>
      <c r="H80" s="37">
        <f>B80-D80</f>
        <v>0</v>
      </c>
      <c r="I80" s="37">
        <f t="shared" si="10"/>
        <v>0</v>
      </c>
      <c r="J80" s="160"/>
      <c r="K80" s="156"/>
    </row>
    <row r="81" spans="1:11" s="8" customFormat="1" ht="32.25" hidden="1">
      <c r="A81" s="9" t="s">
        <v>53</v>
      </c>
      <c r="B81" s="55"/>
      <c r="C81" s="36"/>
      <c r="D81" s="37"/>
      <c r="E81" s="71"/>
      <c r="F81" s="1" t="e">
        <f>D81/B81*100</f>
        <v>#DIV/0!</v>
      </c>
      <c r="G81" s="1" t="e">
        <f t="shared" si="9"/>
        <v>#DIV/0!</v>
      </c>
      <c r="H81" s="37">
        <f>B81-D81</f>
        <v>0</v>
      </c>
      <c r="I81" s="37">
        <f t="shared" si="10"/>
        <v>0</v>
      </c>
      <c r="J81" s="160"/>
      <c r="K81" s="156"/>
    </row>
    <row r="82" spans="1:11" s="8" customFormat="1" ht="16.5" customHeight="1" hidden="1">
      <c r="A82" s="9" t="s">
        <v>33</v>
      </c>
      <c r="B82" s="55"/>
      <c r="C82" s="36"/>
      <c r="D82" s="37"/>
      <c r="E82" s="1" t="e">
        <f>D82/D79*100</f>
        <v>#DIV/0!</v>
      </c>
      <c r="F82" s="1"/>
      <c r="G82" s="1" t="e">
        <f t="shared" si="9"/>
        <v>#DIV/0!</v>
      </c>
      <c r="H82" s="37"/>
      <c r="I82" s="37">
        <f t="shared" si="10"/>
        <v>0</v>
      </c>
      <c r="J82" s="160"/>
      <c r="K82" s="156"/>
    </row>
    <row r="83" spans="1:11" s="8" customFormat="1" ht="33" customHeight="1" hidden="1" thickBot="1">
      <c r="A83" s="9" t="s">
        <v>39</v>
      </c>
      <c r="B83" s="55"/>
      <c r="C83" s="36"/>
      <c r="D83" s="36"/>
      <c r="E83" s="1" t="e">
        <f>D83/D79*100</f>
        <v>#DIV/0!</v>
      </c>
      <c r="F83" s="1"/>
      <c r="G83" s="1" t="e">
        <f t="shared" si="9"/>
        <v>#DIV/0!</v>
      </c>
      <c r="H83" s="37"/>
      <c r="I83" s="37">
        <f t="shared" si="10"/>
        <v>0</v>
      </c>
      <c r="J83" s="160"/>
      <c r="K83" s="156"/>
    </row>
    <row r="84" spans="1:11" ht="35.25" customHeight="1" hidden="1" thickBot="1">
      <c r="A84" s="12" t="s">
        <v>35</v>
      </c>
      <c r="B84" s="45"/>
      <c r="C84" s="39"/>
      <c r="D84" s="39"/>
      <c r="E84" s="3">
        <f>D84/D152*100</f>
        <v>0</v>
      </c>
      <c r="F84" s="3"/>
      <c r="G84" s="3" t="e">
        <f t="shared" si="9"/>
        <v>#DIV/0!</v>
      </c>
      <c r="H84" s="40"/>
      <c r="I84" s="40">
        <f t="shared" si="10"/>
        <v>0</v>
      </c>
      <c r="J84" s="158"/>
      <c r="K84" s="156"/>
    </row>
    <row r="85" spans="1:11" ht="16.5" customHeight="1" hidden="1">
      <c r="A85" s="21" t="s">
        <v>23</v>
      </c>
      <c r="B85" s="35"/>
      <c r="C85" s="51"/>
      <c r="D85" s="51"/>
      <c r="E85" s="6" t="e">
        <f>D85/D84*100</f>
        <v>#DIV/0!</v>
      </c>
      <c r="F85" s="6"/>
      <c r="G85" s="6" t="e">
        <f t="shared" si="9"/>
        <v>#DIV/0!</v>
      </c>
      <c r="H85" s="52"/>
      <c r="I85" s="37">
        <f t="shared" si="10"/>
        <v>0</v>
      </c>
      <c r="J85" s="158"/>
      <c r="K85" s="156"/>
    </row>
    <row r="86" spans="1:11" ht="16.5" customHeight="1" hidden="1" thickBot="1">
      <c r="A86" s="21" t="s">
        <v>24</v>
      </c>
      <c r="B86" s="35"/>
      <c r="C86" s="51"/>
      <c r="D86" s="51"/>
      <c r="E86" s="6" t="e">
        <f>D86/D84*100</f>
        <v>#DIV/0!</v>
      </c>
      <c r="F86" s="6"/>
      <c r="G86" s="6" t="e">
        <f t="shared" si="9"/>
        <v>#DIV/0!</v>
      </c>
      <c r="H86" s="52"/>
      <c r="I86" s="37">
        <f t="shared" si="10"/>
        <v>0</v>
      </c>
      <c r="J86" s="158"/>
      <c r="K86" s="156"/>
    </row>
    <row r="87" spans="1:11" ht="34.5" customHeight="1" hidden="1" thickBot="1">
      <c r="A87" s="12" t="s">
        <v>36</v>
      </c>
      <c r="B87" s="45"/>
      <c r="C87" s="39"/>
      <c r="D87" s="39"/>
      <c r="E87" s="3">
        <f>D87/D152*100</f>
        <v>0</v>
      </c>
      <c r="F87" s="3"/>
      <c r="G87" s="3" t="e">
        <f t="shared" si="9"/>
        <v>#DIV/0!</v>
      </c>
      <c r="H87" s="40"/>
      <c r="I87" s="40">
        <f t="shared" si="10"/>
        <v>0</v>
      </c>
      <c r="J87" s="158"/>
      <c r="K87" s="156"/>
    </row>
    <row r="88" spans="1:11" ht="17.25" customHeight="1" hidden="1">
      <c r="A88" s="21" t="s">
        <v>23</v>
      </c>
      <c r="B88" s="35"/>
      <c r="C88" s="36"/>
      <c r="D88" s="37"/>
      <c r="E88" s="1" t="e">
        <f>D88/D87*100</f>
        <v>#DIV/0!</v>
      </c>
      <c r="F88" s="1"/>
      <c r="G88" s="1" t="e">
        <f t="shared" si="9"/>
        <v>#DIV/0!</v>
      </c>
      <c r="H88" s="37"/>
      <c r="I88" s="37">
        <f t="shared" si="10"/>
        <v>0</v>
      </c>
      <c r="J88" s="158"/>
      <c r="K88" s="156"/>
    </row>
    <row r="89" spans="1:11" ht="17.25" customHeight="1" hidden="1" thickBot="1">
      <c r="A89" s="21" t="s">
        <v>24</v>
      </c>
      <c r="B89" s="35"/>
      <c r="C89" s="36"/>
      <c r="D89" s="37"/>
      <c r="E89" s="1" t="e">
        <f>D89/D87*100</f>
        <v>#DIV/0!</v>
      </c>
      <c r="F89" s="1"/>
      <c r="G89" s="1" t="e">
        <f t="shared" si="9"/>
        <v>#DIV/0!</v>
      </c>
      <c r="H89" s="37"/>
      <c r="I89" s="37">
        <f t="shared" si="10"/>
        <v>0</v>
      </c>
      <c r="J89" s="158"/>
      <c r="K89" s="156"/>
    </row>
    <row r="90" spans="1:11" ht="18.75" thickBot="1">
      <c r="A90" s="12" t="s">
        <v>10</v>
      </c>
      <c r="B90" s="45">
        <v>32470.8</v>
      </c>
      <c r="C90" s="39">
        <v>200580.6</v>
      </c>
      <c r="D90" s="40">
        <f>3076.1+1190.1+85.4+19.6+5.2+812.5+1196.5+4.7+5442.2+898.8+0.6+38.7+164.7+18.3+70.9+29.7+34.8+531.6+4509.6+56.1+8.5+41+4+52+75.9+988.9+757.7+5366.6+3416.7</f>
        <v>28897.400000000005</v>
      </c>
      <c r="E90" s="3">
        <f>D90/D152*100</f>
        <v>12.28089486055681</v>
      </c>
      <c r="F90" s="3">
        <f aca="true" t="shared" si="11" ref="F90:F96">D90/B90*100</f>
        <v>88.99503553962332</v>
      </c>
      <c r="G90" s="3">
        <f t="shared" si="9"/>
        <v>14.406876836543518</v>
      </c>
      <c r="H90" s="40">
        <f aca="true" t="shared" si="12" ref="H90:H96">B90-D90</f>
        <v>3573.399999999994</v>
      </c>
      <c r="I90" s="40">
        <f t="shared" si="10"/>
        <v>171683.2</v>
      </c>
      <c r="J90" s="158"/>
      <c r="K90" s="156"/>
    </row>
    <row r="91" spans="1:11" s="93" customFormat="1" ht="18">
      <c r="A91" s="103" t="s">
        <v>3</v>
      </c>
      <c r="B91" s="128">
        <f>30574.2+44.3</f>
        <v>30618.5</v>
      </c>
      <c r="C91" s="129">
        <v>190000</v>
      </c>
      <c r="D91" s="105">
        <f>3071.3+1190.01+77.9+810.1+1179.1+5434.9+841.3+37+143.9+8.8+37.8+16.1+28.3+518.4+4342.6+40+45.8+973+734.6+5248.7+3382.5</f>
        <v>28162.109999999993</v>
      </c>
      <c r="E91" s="107">
        <f>D91/D90*100</f>
        <v>97.4555150290337</v>
      </c>
      <c r="F91" s="107">
        <f t="shared" si="11"/>
        <v>91.97743194473928</v>
      </c>
      <c r="G91" s="107">
        <f t="shared" si="9"/>
        <v>14.822163157894733</v>
      </c>
      <c r="H91" s="105">
        <f t="shared" si="12"/>
        <v>2456.3900000000067</v>
      </c>
      <c r="I91" s="105">
        <f t="shared" si="10"/>
        <v>161837.89</v>
      </c>
      <c r="J91" s="158"/>
      <c r="K91" s="156"/>
    </row>
    <row r="92" spans="1:11" s="93" customFormat="1" ht="18">
      <c r="A92" s="103" t="s">
        <v>25</v>
      </c>
      <c r="B92" s="128">
        <f>718.6+0.3</f>
        <v>718.9</v>
      </c>
      <c r="C92" s="129">
        <v>2776.4</v>
      </c>
      <c r="D92" s="105">
        <f>57.2+3.4+167+1.4+0.3+83.5+0.1</f>
        <v>312.90000000000003</v>
      </c>
      <c r="E92" s="107">
        <f>D92/D90*100</f>
        <v>1.0827963761445667</v>
      </c>
      <c r="F92" s="107">
        <f t="shared" si="11"/>
        <v>43.52482960077897</v>
      </c>
      <c r="G92" s="107">
        <f t="shared" si="9"/>
        <v>11.26998991499784</v>
      </c>
      <c r="H92" s="105">
        <f t="shared" si="12"/>
        <v>405.99999999999994</v>
      </c>
      <c r="I92" s="105">
        <f t="shared" si="10"/>
        <v>2463.5</v>
      </c>
      <c r="J92" s="158"/>
      <c r="K92" s="156"/>
    </row>
    <row r="93" spans="1:11" s="93" customFormat="1" ht="18" hidden="1">
      <c r="A93" s="103" t="s">
        <v>14</v>
      </c>
      <c r="B93" s="128"/>
      <c r="C93" s="129"/>
      <c r="D93" s="129"/>
      <c r="E93" s="130">
        <f>D93/D90*100</f>
        <v>0</v>
      </c>
      <c r="F93" s="107"/>
      <c r="G93" s="107" t="e">
        <f t="shared" si="9"/>
        <v>#DIV/0!</v>
      </c>
      <c r="H93" s="105">
        <f t="shared" si="12"/>
        <v>0</v>
      </c>
      <c r="I93" s="105">
        <f t="shared" si="10"/>
        <v>0</v>
      </c>
      <c r="J93" s="158"/>
      <c r="K93" s="156">
        <f aca="true" t="shared" si="13" ref="K93:K101">C93-B93</f>
        <v>0</v>
      </c>
    </row>
    <row r="94" spans="1:11" s="93" customFormat="1" ht="18.75" thickBot="1">
      <c r="A94" s="103" t="s">
        <v>27</v>
      </c>
      <c r="B94" s="129">
        <f>B90-B91-B92-B93</f>
        <v>1133.3999999999992</v>
      </c>
      <c r="C94" s="129">
        <f>C90-C91-C92-C93</f>
        <v>7804.200000000006</v>
      </c>
      <c r="D94" s="129">
        <f>D90-D91-D92-D93</f>
        <v>422.39000000001175</v>
      </c>
      <c r="E94" s="107">
        <f>D94/D90*100</f>
        <v>1.46168859482172</v>
      </c>
      <c r="F94" s="107">
        <f t="shared" si="11"/>
        <v>37.2675136756672</v>
      </c>
      <c r="G94" s="107">
        <f>D94/C94*100</f>
        <v>5.41234207221767</v>
      </c>
      <c r="H94" s="105">
        <f t="shared" si="12"/>
        <v>711.0099999999875</v>
      </c>
      <c r="I94" s="105">
        <f>C94-D94</f>
        <v>7381.809999999994</v>
      </c>
      <c r="J94" s="158"/>
      <c r="K94" s="156"/>
    </row>
    <row r="95" spans="1:11" ht="18">
      <c r="A95" s="82" t="s">
        <v>12</v>
      </c>
      <c r="B95" s="91">
        <v>7211.3</v>
      </c>
      <c r="C95" s="85">
        <v>46414.5</v>
      </c>
      <c r="D95" s="84">
        <f>627.6+194.6+194.6+1234+510.7+28.2+0.5+182.1+337.6+34.8+102.9+588.2</f>
        <v>4035.8</v>
      </c>
      <c r="E95" s="81">
        <f>D95/D152*100</f>
        <v>1.7151451507137379</v>
      </c>
      <c r="F95" s="83">
        <f t="shared" si="11"/>
        <v>55.964943907478535</v>
      </c>
      <c r="G95" s="80">
        <f>D95/C95*100</f>
        <v>8.695127600211142</v>
      </c>
      <c r="H95" s="84">
        <f t="shared" si="12"/>
        <v>3175.5</v>
      </c>
      <c r="I95" s="87">
        <f>C95-D95</f>
        <v>42378.7</v>
      </c>
      <c r="J95" s="158"/>
      <c r="K95" s="156"/>
    </row>
    <row r="96" spans="1:11" s="93" customFormat="1" ht="18.75" thickBot="1">
      <c r="A96" s="131" t="s">
        <v>83</v>
      </c>
      <c r="B96" s="132">
        <v>2686.9</v>
      </c>
      <c r="C96" s="133">
        <v>12814.2</v>
      </c>
      <c r="D96" s="134">
        <f>194.6+1234+3.4+0.5+79.6+0.1</f>
        <v>1512.1999999999998</v>
      </c>
      <c r="E96" s="135">
        <f>D96/D95*100</f>
        <v>37.469646662371765</v>
      </c>
      <c r="F96" s="136">
        <f t="shared" si="11"/>
        <v>56.28047191931221</v>
      </c>
      <c r="G96" s="137">
        <f>D96/C96*100</f>
        <v>11.800970798020943</v>
      </c>
      <c r="H96" s="138">
        <f t="shared" si="12"/>
        <v>1174.7000000000003</v>
      </c>
      <c r="I96" s="127">
        <f>C96-D96</f>
        <v>11302</v>
      </c>
      <c r="J96" s="158"/>
      <c r="K96" s="156"/>
    </row>
    <row r="97" spans="1:11" ht="8.25" customHeight="1" thickBot="1">
      <c r="A97" s="16"/>
      <c r="B97" s="43"/>
      <c r="C97" s="51"/>
      <c r="D97" s="52"/>
      <c r="E97" s="6"/>
      <c r="F97" s="6"/>
      <c r="G97" s="6"/>
      <c r="H97" s="52"/>
      <c r="I97" s="52"/>
      <c r="J97" s="158"/>
      <c r="K97" s="156"/>
    </row>
    <row r="98" spans="1:11" ht="18.75" hidden="1" thickBot="1">
      <c r="A98" s="25" t="s">
        <v>37</v>
      </c>
      <c r="B98" s="59"/>
      <c r="C98" s="60"/>
      <c r="D98" s="61"/>
      <c r="E98" s="3">
        <f>D98/D152*100</f>
        <v>0</v>
      </c>
      <c r="F98" s="3"/>
      <c r="G98" s="3" t="e">
        <f>D98/C98*100</f>
        <v>#DIV/0!</v>
      </c>
      <c r="H98" s="40"/>
      <c r="I98" s="40">
        <f>C98-D98</f>
        <v>0</v>
      </c>
      <c r="J98" s="158"/>
      <c r="K98" s="156">
        <f t="shared" si="13"/>
        <v>0</v>
      </c>
    </row>
    <row r="99" spans="1:11" ht="5.25" customHeight="1" hidden="1" thickBot="1">
      <c r="A99" s="24"/>
      <c r="B99" s="56"/>
      <c r="C99" s="57"/>
      <c r="D99" s="58"/>
      <c r="E99" s="13"/>
      <c r="F99" s="6"/>
      <c r="G99" s="6"/>
      <c r="H99" s="52"/>
      <c r="I99" s="86"/>
      <c r="J99" s="158"/>
      <c r="K99" s="156">
        <f t="shared" si="13"/>
        <v>0</v>
      </c>
    </row>
    <row r="100" spans="1:11" s="14" customFormat="1" ht="36" customHeight="1" hidden="1" thickBot="1">
      <c r="A100" s="12" t="s">
        <v>51</v>
      </c>
      <c r="B100" s="45"/>
      <c r="C100" s="39"/>
      <c r="D100" s="40"/>
      <c r="E100" s="3">
        <f>D100/D152*100</f>
        <v>0</v>
      </c>
      <c r="F100" s="3" t="e">
        <f>D100/B100*100</f>
        <v>#DIV/0!</v>
      </c>
      <c r="G100" s="3" t="e">
        <f>D100/C100*100</f>
        <v>#DIV/0!</v>
      </c>
      <c r="H100" s="40">
        <f>B100-D100</f>
        <v>0</v>
      </c>
      <c r="I100" s="40">
        <f>C100-D100</f>
        <v>0</v>
      </c>
      <c r="J100" s="161"/>
      <c r="K100" s="156">
        <f t="shared" si="13"/>
        <v>0</v>
      </c>
    </row>
    <row r="101" spans="1:11" ht="6.75" customHeight="1" hidden="1" thickBot="1">
      <c r="A101" s="77"/>
      <c r="B101" s="78"/>
      <c r="C101" s="57"/>
      <c r="D101" s="58"/>
      <c r="E101" s="13"/>
      <c r="F101" s="6"/>
      <c r="G101" s="6"/>
      <c r="H101" s="52"/>
      <c r="I101" s="86"/>
      <c r="J101" s="158"/>
      <c r="K101" s="156">
        <f t="shared" si="13"/>
        <v>0</v>
      </c>
    </row>
    <row r="102" spans="1:11" s="32" customFormat="1" ht="18.75" thickBot="1">
      <c r="A102" s="12" t="s">
        <v>11</v>
      </c>
      <c r="B102" s="90">
        <v>1511.6</v>
      </c>
      <c r="C102" s="70">
        <v>11266.5</v>
      </c>
      <c r="D102" s="65">
        <f>144.5+120.5+0.1+30.9+51.6+143.8+13.5+25.2+149.6+13.2</f>
        <v>692.9000000000001</v>
      </c>
      <c r="E102" s="17">
        <f>D102/D152*100</f>
        <v>0.2944705076885745</v>
      </c>
      <c r="F102" s="17">
        <f>D102/B102*100</f>
        <v>45.83884625562319</v>
      </c>
      <c r="G102" s="17">
        <f aca="true" t="shared" si="14" ref="G102:G150">D102/C102*100</f>
        <v>6.150090977677185</v>
      </c>
      <c r="H102" s="65">
        <f aca="true" t="shared" si="15" ref="H102:H107">B102-D102</f>
        <v>818.6999999999998</v>
      </c>
      <c r="I102" s="65">
        <f aca="true" t="shared" si="16" ref="I102:I150">C102-D102</f>
        <v>10573.6</v>
      </c>
      <c r="J102" s="159"/>
      <c r="K102" s="156"/>
    </row>
    <row r="103" spans="1:11" s="93" customFormat="1" ht="18.75" customHeight="1">
      <c r="A103" s="103" t="s">
        <v>3</v>
      </c>
      <c r="B103" s="120">
        <v>0</v>
      </c>
      <c r="C103" s="121">
        <v>363.8</v>
      </c>
      <c r="D103" s="121"/>
      <c r="E103" s="122">
        <f>D103/D102*100</f>
        <v>0</v>
      </c>
      <c r="F103" s="107" t="e">
        <f>D103/B103*100</f>
        <v>#DIV/0!</v>
      </c>
      <c r="G103" s="122">
        <f>D103/C103*100</f>
        <v>0</v>
      </c>
      <c r="H103" s="121">
        <f t="shared" si="15"/>
        <v>0</v>
      </c>
      <c r="I103" s="121">
        <f t="shared" si="16"/>
        <v>363.8</v>
      </c>
      <c r="J103" s="158"/>
      <c r="K103" s="156"/>
    </row>
    <row r="104" spans="1:11" s="93" customFormat="1" ht="18">
      <c r="A104" s="123" t="s">
        <v>48</v>
      </c>
      <c r="B104" s="104">
        <v>1390</v>
      </c>
      <c r="C104" s="105">
        <v>8949.2</v>
      </c>
      <c r="D104" s="105">
        <f>144.4+120.5+0.1+30.9+51.6+143.7+13.5+25.2+149.6+13.2</f>
        <v>692.7</v>
      </c>
      <c r="E104" s="107">
        <f>D104/D102*100</f>
        <v>99.9711358060326</v>
      </c>
      <c r="F104" s="107">
        <f aca="true" t="shared" si="17" ref="F104:F150">D104/B104*100</f>
        <v>49.83453237410072</v>
      </c>
      <c r="G104" s="107">
        <f t="shared" si="14"/>
        <v>7.740356679926698</v>
      </c>
      <c r="H104" s="105">
        <f t="shared" si="15"/>
        <v>697.3</v>
      </c>
      <c r="I104" s="105">
        <f t="shared" si="16"/>
        <v>8256.5</v>
      </c>
      <c r="J104" s="158"/>
      <c r="K104" s="156"/>
    </row>
    <row r="105" spans="1:11" s="93" customFormat="1" ht="55.5" hidden="1" thickBot="1">
      <c r="A105" s="124" t="s">
        <v>79</v>
      </c>
      <c r="B105" s="125"/>
      <c r="C105" s="125"/>
      <c r="D105" s="125"/>
      <c r="E105" s="126">
        <f>D105/D102*100</f>
        <v>0</v>
      </c>
      <c r="F105" s="126" t="e">
        <f>D105/B105*100</f>
        <v>#DIV/0!</v>
      </c>
      <c r="G105" s="126" t="e">
        <f>D105/C105*100</f>
        <v>#DIV/0!</v>
      </c>
      <c r="H105" s="127">
        <f t="shared" si="15"/>
        <v>0</v>
      </c>
      <c r="I105" s="127">
        <f>C105-D105</f>
        <v>0</v>
      </c>
      <c r="J105" s="158"/>
      <c r="K105" s="156"/>
    </row>
    <row r="106" spans="1:11" s="93" customFormat="1" ht="18.75" thickBot="1">
      <c r="A106" s="124" t="s">
        <v>27</v>
      </c>
      <c r="B106" s="125">
        <f>B102-B103-B104</f>
        <v>121.59999999999991</v>
      </c>
      <c r="C106" s="125">
        <f>C102-C103-C104</f>
        <v>1953.5</v>
      </c>
      <c r="D106" s="125">
        <f>D102-D103-D104</f>
        <v>0.20000000000004547</v>
      </c>
      <c r="E106" s="126">
        <f>D106/D102*100</f>
        <v>0.02886419396739002</v>
      </c>
      <c r="F106" s="126">
        <f t="shared" si="17"/>
        <v>0.16447368421056385</v>
      </c>
      <c r="G106" s="126">
        <f t="shared" si="14"/>
        <v>0.010238034297417225</v>
      </c>
      <c r="H106" s="127">
        <f>B106-D106</f>
        <v>121.39999999999986</v>
      </c>
      <c r="I106" s="127">
        <f t="shared" si="16"/>
        <v>1953.3</v>
      </c>
      <c r="J106" s="158"/>
      <c r="K106" s="156"/>
    </row>
    <row r="107" spans="1:12" s="2" customFormat="1" ht="26.25" customHeight="1" thickBot="1">
      <c r="A107" s="66" t="s">
        <v>28</v>
      </c>
      <c r="B107" s="67">
        <f>SUM(B108:B149)-B115-B119+B150-B140-B141-B109-B112-B122-B123-B138-B131-B129-B136</f>
        <v>24119.9</v>
      </c>
      <c r="C107" s="67">
        <f>SUM(C108:C149)-C115-C119+C150-C140-C141-C109-C112-C122-C123-C138-C131-C129-C136</f>
        <v>490507.9</v>
      </c>
      <c r="D107" s="67">
        <f>SUM(D108:D149)-D115-D119+D150-D140-D141-D109-D112-D122-D123-D138-D131-D129-D136</f>
        <v>17186.600000000002</v>
      </c>
      <c r="E107" s="68">
        <f>D107/D152*100</f>
        <v>7.304007544292762</v>
      </c>
      <c r="F107" s="68">
        <f>D107/B107*100</f>
        <v>71.25485594882235</v>
      </c>
      <c r="G107" s="68">
        <f t="shared" si="14"/>
        <v>3.503837552871218</v>
      </c>
      <c r="H107" s="67">
        <f t="shared" si="15"/>
        <v>6933.299999999999</v>
      </c>
      <c r="I107" s="67">
        <f t="shared" si="16"/>
        <v>473321.30000000005</v>
      </c>
      <c r="J107" s="157"/>
      <c r="K107" s="156"/>
      <c r="L107" s="96"/>
    </row>
    <row r="108" spans="1:12" s="93" customFormat="1" ht="36.75">
      <c r="A108" s="97" t="s">
        <v>52</v>
      </c>
      <c r="B108" s="98">
        <v>679.8</v>
      </c>
      <c r="C108" s="164">
        <v>4459</v>
      </c>
      <c r="D108" s="99">
        <f>17.1+81.1+17.3+60.5+173.3+3.4+2+0.4+29.3+1.7</f>
        <v>386.09999999999997</v>
      </c>
      <c r="E108" s="100">
        <f>D108/D107*100</f>
        <v>2.246517635832567</v>
      </c>
      <c r="F108" s="100">
        <f t="shared" si="17"/>
        <v>56.79611650485437</v>
      </c>
      <c r="G108" s="100">
        <f t="shared" si="14"/>
        <v>8.658892128279883</v>
      </c>
      <c r="H108" s="101">
        <f aca="true" t="shared" si="18" ref="H108:H150">B108-D108</f>
        <v>293.7</v>
      </c>
      <c r="I108" s="101">
        <f t="shared" si="16"/>
        <v>4072.9</v>
      </c>
      <c r="J108" s="158"/>
      <c r="K108" s="156"/>
      <c r="L108" s="102"/>
    </row>
    <row r="109" spans="1:12" s="93" customFormat="1" ht="18">
      <c r="A109" s="103" t="s">
        <v>25</v>
      </c>
      <c r="B109" s="104">
        <v>289.6</v>
      </c>
      <c r="C109" s="165">
        <v>1995</v>
      </c>
      <c r="D109" s="106">
        <f>47.8+0.9+59.7+88.3</f>
        <v>196.7</v>
      </c>
      <c r="E109" s="107">
        <f>D109/D108*100</f>
        <v>50.945350945350945</v>
      </c>
      <c r="F109" s="107">
        <f t="shared" si="17"/>
        <v>67.92127071823202</v>
      </c>
      <c r="G109" s="107">
        <f t="shared" si="14"/>
        <v>9.859649122807017</v>
      </c>
      <c r="H109" s="105">
        <f t="shared" si="18"/>
        <v>92.90000000000003</v>
      </c>
      <c r="I109" s="105">
        <f t="shared" si="16"/>
        <v>1798.3</v>
      </c>
      <c r="J109" s="158"/>
      <c r="K109" s="156"/>
      <c r="L109" s="102"/>
    </row>
    <row r="110" spans="1:12" s="93" customFormat="1" ht="34.5" customHeight="1" hidden="1">
      <c r="A110" s="108" t="s">
        <v>78</v>
      </c>
      <c r="B110" s="109"/>
      <c r="C110" s="166"/>
      <c r="D110" s="99"/>
      <c r="E110" s="100">
        <f>D110/D107*100</f>
        <v>0</v>
      </c>
      <c r="F110" s="100" t="e">
        <f>D110/B110*100</f>
        <v>#DIV/0!</v>
      </c>
      <c r="G110" s="100" t="e">
        <f t="shared" si="14"/>
        <v>#DIV/0!</v>
      </c>
      <c r="H110" s="101">
        <f t="shared" si="18"/>
        <v>0</v>
      </c>
      <c r="I110" s="101">
        <f t="shared" si="16"/>
        <v>0</v>
      </c>
      <c r="J110" s="158"/>
      <c r="K110" s="156"/>
      <c r="L110" s="102"/>
    </row>
    <row r="111" spans="1:12" s="94" customFormat="1" ht="34.5" customHeight="1">
      <c r="A111" s="108" t="s">
        <v>93</v>
      </c>
      <c r="B111" s="109">
        <v>0</v>
      </c>
      <c r="C111" s="167">
        <v>200</v>
      </c>
      <c r="D111" s="111"/>
      <c r="E111" s="100">
        <f>D111/D107*100</f>
        <v>0</v>
      </c>
      <c r="F111" s="112" t="e">
        <f t="shared" si="17"/>
        <v>#DIV/0!</v>
      </c>
      <c r="G111" s="100">
        <f t="shared" si="14"/>
        <v>0</v>
      </c>
      <c r="H111" s="101">
        <f t="shared" si="18"/>
        <v>0</v>
      </c>
      <c r="I111" s="101">
        <f t="shared" si="16"/>
        <v>200</v>
      </c>
      <c r="J111" s="159"/>
      <c r="K111" s="156"/>
      <c r="L111" s="102"/>
    </row>
    <row r="112" spans="1:12" s="93" customFormat="1" ht="18" hidden="1">
      <c r="A112" s="103" t="s">
        <v>25</v>
      </c>
      <c r="B112" s="104"/>
      <c r="C112" s="165"/>
      <c r="D112" s="106"/>
      <c r="E112" s="107"/>
      <c r="F112" s="107" t="e">
        <f t="shared" si="17"/>
        <v>#DIV/0!</v>
      </c>
      <c r="G112" s="107" t="e">
        <f t="shared" si="14"/>
        <v>#DIV/0!</v>
      </c>
      <c r="H112" s="105">
        <f t="shared" si="18"/>
        <v>0</v>
      </c>
      <c r="I112" s="105">
        <f t="shared" si="16"/>
        <v>0</v>
      </c>
      <c r="J112" s="158"/>
      <c r="K112" s="156"/>
      <c r="L112" s="102"/>
    </row>
    <row r="113" spans="1:12" s="93" customFormat="1" ht="18">
      <c r="A113" s="108" t="s">
        <v>89</v>
      </c>
      <c r="B113" s="109">
        <v>5</v>
      </c>
      <c r="C113" s="166">
        <v>64.3</v>
      </c>
      <c r="D113" s="99"/>
      <c r="E113" s="100">
        <f>D113/D107*100</f>
        <v>0</v>
      </c>
      <c r="F113" s="100">
        <f t="shared" si="17"/>
        <v>0</v>
      </c>
      <c r="G113" s="100">
        <f t="shared" si="14"/>
        <v>0</v>
      </c>
      <c r="H113" s="101">
        <f t="shared" si="18"/>
        <v>5</v>
      </c>
      <c r="I113" s="101">
        <f t="shared" si="16"/>
        <v>64.3</v>
      </c>
      <c r="J113" s="158"/>
      <c r="K113" s="156"/>
      <c r="L113" s="102"/>
    </row>
    <row r="114" spans="1:12" s="93" customFormat="1" ht="36.75">
      <c r="A114" s="108" t="s">
        <v>38</v>
      </c>
      <c r="B114" s="109">
        <v>549</v>
      </c>
      <c r="C114" s="166">
        <v>3311.5</v>
      </c>
      <c r="D114" s="99">
        <f>136.4+10+40+6.6+6.1+0.2+177.4+10</f>
        <v>386.7</v>
      </c>
      <c r="E114" s="100">
        <f>D114/D107*100</f>
        <v>2.2500087277297425</v>
      </c>
      <c r="F114" s="100">
        <f t="shared" si="17"/>
        <v>70.43715846994535</v>
      </c>
      <c r="G114" s="100">
        <f t="shared" si="14"/>
        <v>11.677487543409331</v>
      </c>
      <c r="H114" s="101">
        <f t="shared" si="18"/>
        <v>162.3</v>
      </c>
      <c r="I114" s="101">
        <f t="shared" si="16"/>
        <v>2924.8</v>
      </c>
      <c r="J114" s="158"/>
      <c r="K114" s="156"/>
      <c r="L114" s="102"/>
    </row>
    <row r="115" spans="1:12" s="93" customFormat="1" ht="18" hidden="1">
      <c r="A115" s="113" t="s">
        <v>43</v>
      </c>
      <c r="B115" s="104"/>
      <c r="C115" s="165"/>
      <c r="D115" s="106"/>
      <c r="E115" s="100"/>
      <c r="F115" s="100" t="e">
        <f t="shared" si="17"/>
        <v>#DIV/0!</v>
      </c>
      <c r="G115" s="107" t="e">
        <f t="shared" si="14"/>
        <v>#DIV/0!</v>
      </c>
      <c r="H115" s="105">
        <f t="shared" si="18"/>
        <v>0</v>
      </c>
      <c r="I115" s="105">
        <f t="shared" si="16"/>
        <v>0</v>
      </c>
      <c r="J115" s="158"/>
      <c r="K115" s="156"/>
      <c r="L115" s="102"/>
    </row>
    <row r="116" spans="1:12" s="94" customFormat="1" ht="18.75" customHeight="1" hidden="1">
      <c r="A116" s="108" t="s">
        <v>90</v>
      </c>
      <c r="B116" s="109"/>
      <c r="C116" s="167"/>
      <c r="D116" s="111"/>
      <c r="E116" s="114">
        <f>D116/D107*100</f>
        <v>0</v>
      </c>
      <c r="F116" s="100" t="e">
        <f t="shared" si="17"/>
        <v>#DIV/0!</v>
      </c>
      <c r="G116" s="114" t="e">
        <f t="shared" si="14"/>
        <v>#DIV/0!</v>
      </c>
      <c r="H116" s="110">
        <f t="shared" si="18"/>
        <v>0</v>
      </c>
      <c r="I116" s="110">
        <f t="shared" si="16"/>
        <v>0</v>
      </c>
      <c r="J116" s="159"/>
      <c r="K116" s="156"/>
      <c r="L116" s="102"/>
    </row>
    <row r="117" spans="1:12" s="93" customFormat="1" ht="36.75">
      <c r="A117" s="108" t="s">
        <v>47</v>
      </c>
      <c r="B117" s="109">
        <v>85</v>
      </c>
      <c r="C117" s="166">
        <v>200</v>
      </c>
      <c r="D117" s="99"/>
      <c r="E117" s="100">
        <f>D117/D107*100</f>
        <v>0</v>
      </c>
      <c r="F117" s="100">
        <f>D117/B117*100</f>
        <v>0</v>
      </c>
      <c r="G117" s="100">
        <f t="shared" si="14"/>
        <v>0</v>
      </c>
      <c r="H117" s="101">
        <f t="shared" si="18"/>
        <v>85</v>
      </c>
      <c r="I117" s="101">
        <f t="shared" si="16"/>
        <v>200</v>
      </c>
      <c r="J117" s="158"/>
      <c r="K117" s="156"/>
      <c r="L117" s="102"/>
    </row>
    <row r="118" spans="1:12" s="115" customFormat="1" ht="18">
      <c r="A118" s="108" t="s">
        <v>15</v>
      </c>
      <c r="B118" s="109">
        <v>103.3</v>
      </c>
      <c r="C118" s="167">
        <v>491.6</v>
      </c>
      <c r="D118" s="99">
        <f>45.4+9.9+47</f>
        <v>102.3</v>
      </c>
      <c r="E118" s="100">
        <f>D118/D107*100</f>
        <v>0.5952311684684579</v>
      </c>
      <c r="F118" s="100">
        <f t="shared" si="17"/>
        <v>99.03194578896418</v>
      </c>
      <c r="G118" s="100">
        <f t="shared" si="14"/>
        <v>20.80960130187144</v>
      </c>
      <c r="H118" s="101">
        <f t="shared" si="18"/>
        <v>1</v>
      </c>
      <c r="I118" s="101">
        <f t="shared" si="16"/>
        <v>389.3</v>
      </c>
      <c r="J118" s="157"/>
      <c r="K118" s="156"/>
      <c r="L118" s="102"/>
    </row>
    <row r="119" spans="1:12" s="116" customFormat="1" ht="18">
      <c r="A119" s="113" t="s">
        <v>43</v>
      </c>
      <c r="B119" s="104">
        <v>90.8</v>
      </c>
      <c r="C119" s="165">
        <v>408.8</v>
      </c>
      <c r="D119" s="106">
        <f>45.4+45.4</f>
        <v>90.8</v>
      </c>
      <c r="E119" s="107">
        <f>D119/D118*100</f>
        <v>88.7585532746823</v>
      </c>
      <c r="F119" s="107">
        <f t="shared" si="17"/>
        <v>100</v>
      </c>
      <c r="G119" s="107">
        <f t="shared" si="14"/>
        <v>22.211350293542072</v>
      </c>
      <c r="H119" s="105">
        <f t="shared" si="18"/>
        <v>0</v>
      </c>
      <c r="I119" s="105">
        <f t="shared" si="16"/>
        <v>318</v>
      </c>
      <c r="J119" s="168"/>
      <c r="K119" s="156"/>
      <c r="L119" s="102"/>
    </row>
    <row r="120" spans="1:12" s="115" customFormat="1" ht="18">
      <c r="A120" s="108" t="s">
        <v>105</v>
      </c>
      <c r="B120" s="109">
        <v>0</v>
      </c>
      <c r="C120" s="167">
        <v>317</v>
      </c>
      <c r="D120" s="99"/>
      <c r="E120" s="100">
        <f>D120/D107*100</f>
        <v>0</v>
      </c>
      <c r="F120" s="100" t="e">
        <f t="shared" si="17"/>
        <v>#DIV/0!</v>
      </c>
      <c r="G120" s="100">
        <f t="shared" si="14"/>
        <v>0</v>
      </c>
      <c r="H120" s="101">
        <f t="shared" si="18"/>
        <v>0</v>
      </c>
      <c r="I120" s="101">
        <f t="shared" si="16"/>
        <v>317</v>
      </c>
      <c r="J120" s="157"/>
      <c r="K120" s="156"/>
      <c r="L120" s="102"/>
    </row>
    <row r="121" spans="1:12" s="115" customFormat="1" ht="21.75" customHeight="1">
      <c r="A121" s="108" t="s">
        <v>94</v>
      </c>
      <c r="B121" s="109">
        <v>18</v>
      </c>
      <c r="C121" s="167">
        <f>480+80</f>
        <v>560</v>
      </c>
      <c r="D121" s="111"/>
      <c r="E121" s="114">
        <f>D121/D107*100</f>
        <v>0</v>
      </c>
      <c r="F121" s="100">
        <f t="shared" si="17"/>
        <v>0</v>
      </c>
      <c r="G121" s="100">
        <f t="shared" si="14"/>
        <v>0</v>
      </c>
      <c r="H121" s="101">
        <f t="shared" si="18"/>
        <v>18</v>
      </c>
      <c r="I121" s="101">
        <f t="shared" si="16"/>
        <v>560</v>
      </c>
      <c r="J121" s="157"/>
      <c r="K121" s="156"/>
      <c r="L121" s="102"/>
    </row>
    <row r="122" spans="1:12" s="118" customFormat="1" ht="18" hidden="1">
      <c r="A122" s="103" t="s">
        <v>80</v>
      </c>
      <c r="B122" s="104"/>
      <c r="C122" s="165"/>
      <c r="D122" s="106"/>
      <c r="E122" s="100"/>
      <c r="F122" s="117" t="e">
        <f>D122/B122*100</f>
        <v>#DIV/0!</v>
      </c>
      <c r="G122" s="107" t="e">
        <f t="shared" si="14"/>
        <v>#DIV/0!</v>
      </c>
      <c r="H122" s="105">
        <f t="shared" si="18"/>
        <v>0</v>
      </c>
      <c r="I122" s="105">
        <f t="shared" si="16"/>
        <v>0</v>
      </c>
      <c r="J122" s="169"/>
      <c r="K122" s="156"/>
      <c r="L122" s="102"/>
    </row>
    <row r="123" spans="1:12" s="118" customFormat="1" ht="18" hidden="1">
      <c r="A123" s="103" t="s">
        <v>49</v>
      </c>
      <c r="B123" s="104"/>
      <c r="C123" s="165"/>
      <c r="D123" s="106"/>
      <c r="E123" s="100"/>
      <c r="F123" s="107" t="e">
        <f>D123/B123*100</f>
        <v>#DIV/0!</v>
      </c>
      <c r="G123" s="107" t="e">
        <f t="shared" si="14"/>
        <v>#DIV/0!</v>
      </c>
      <c r="H123" s="105">
        <f t="shared" si="18"/>
        <v>0</v>
      </c>
      <c r="I123" s="105">
        <f t="shared" si="16"/>
        <v>0</v>
      </c>
      <c r="J123" s="169"/>
      <c r="K123" s="156"/>
      <c r="L123" s="102"/>
    </row>
    <row r="124" spans="1:12" s="115" customFormat="1" ht="36.75">
      <c r="A124" s="108" t="s">
        <v>95</v>
      </c>
      <c r="B124" s="109">
        <v>7059.2</v>
      </c>
      <c r="C124" s="167">
        <v>45511.3</v>
      </c>
      <c r="D124" s="111">
        <f>3529.6+2264.3+1265.3</f>
        <v>7059.2</v>
      </c>
      <c r="E124" s="114">
        <f>D124/D107*100</f>
        <v>41.07385986757124</v>
      </c>
      <c r="F124" s="100">
        <f t="shared" si="17"/>
        <v>100</v>
      </c>
      <c r="G124" s="100">
        <f t="shared" si="14"/>
        <v>15.5108731238176</v>
      </c>
      <c r="H124" s="101">
        <f t="shared" si="18"/>
        <v>0</v>
      </c>
      <c r="I124" s="101">
        <f t="shared" si="16"/>
        <v>38452.100000000006</v>
      </c>
      <c r="J124" s="157"/>
      <c r="K124" s="156"/>
      <c r="L124" s="102"/>
    </row>
    <row r="125" spans="1:12" s="115" customFormat="1" ht="18">
      <c r="A125" s="108" t="s">
        <v>91</v>
      </c>
      <c r="B125" s="109">
        <v>64.4</v>
      </c>
      <c r="C125" s="167">
        <v>700</v>
      </c>
      <c r="D125" s="111"/>
      <c r="E125" s="114">
        <f>D125/D107*100</f>
        <v>0</v>
      </c>
      <c r="F125" s="100">
        <f t="shared" si="17"/>
        <v>0</v>
      </c>
      <c r="G125" s="100">
        <f t="shared" si="14"/>
        <v>0</v>
      </c>
      <c r="H125" s="101">
        <f t="shared" si="18"/>
        <v>64.4</v>
      </c>
      <c r="I125" s="101">
        <f t="shared" si="16"/>
        <v>700</v>
      </c>
      <c r="J125" s="157"/>
      <c r="K125" s="156"/>
      <c r="L125" s="102"/>
    </row>
    <row r="126" spans="1:12" s="115" customFormat="1" ht="36.75">
      <c r="A126" s="108" t="s">
        <v>100</v>
      </c>
      <c r="B126" s="109">
        <v>19</v>
      </c>
      <c r="C126" s="167">
        <v>200</v>
      </c>
      <c r="D126" s="111"/>
      <c r="E126" s="114">
        <f>D126/D107*100</f>
        <v>0</v>
      </c>
      <c r="F126" s="100">
        <f t="shared" si="17"/>
        <v>0</v>
      </c>
      <c r="G126" s="100">
        <f t="shared" si="14"/>
        <v>0</v>
      </c>
      <c r="H126" s="101">
        <f t="shared" si="18"/>
        <v>19</v>
      </c>
      <c r="I126" s="101">
        <f t="shared" si="16"/>
        <v>200</v>
      </c>
      <c r="J126" s="157"/>
      <c r="K126" s="156"/>
      <c r="L126" s="102"/>
    </row>
    <row r="127" spans="1:12" s="115" customFormat="1" ht="36.75">
      <c r="A127" s="108" t="s">
        <v>85</v>
      </c>
      <c r="B127" s="109">
        <v>37</v>
      </c>
      <c r="C127" s="110">
        <v>111.1</v>
      </c>
      <c r="D127" s="111"/>
      <c r="E127" s="114">
        <f>D127/D107*100</f>
        <v>0</v>
      </c>
      <c r="F127" s="100">
        <f t="shared" si="17"/>
        <v>0</v>
      </c>
      <c r="G127" s="100">
        <f t="shared" si="14"/>
        <v>0</v>
      </c>
      <c r="H127" s="101">
        <f t="shared" si="18"/>
        <v>37</v>
      </c>
      <c r="I127" s="101">
        <f t="shared" si="16"/>
        <v>111.1</v>
      </c>
      <c r="J127" s="157"/>
      <c r="K127" s="156"/>
      <c r="L127" s="102"/>
    </row>
    <row r="128" spans="1:12" s="115" customFormat="1" ht="36.75">
      <c r="A128" s="108" t="s">
        <v>57</v>
      </c>
      <c r="B128" s="109">
        <v>56.6</v>
      </c>
      <c r="C128" s="110">
        <v>942</v>
      </c>
      <c r="D128" s="111">
        <f>7+4.2+0.1+12.3+0.2+7.1</f>
        <v>30.9</v>
      </c>
      <c r="E128" s="114">
        <f>D128/D107*100</f>
        <v>0.17979123270454886</v>
      </c>
      <c r="F128" s="100">
        <f t="shared" si="17"/>
        <v>54.59363957597173</v>
      </c>
      <c r="G128" s="100">
        <f t="shared" si="14"/>
        <v>3.2802547770700636</v>
      </c>
      <c r="H128" s="101">
        <f t="shared" si="18"/>
        <v>25.700000000000003</v>
      </c>
      <c r="I128" s="101">
        <f t="shared" si="16"/>
        <v>911.1</v>
      </c>
      <c r="J128" s="157"/>
      <c r="K128" s="156"/>
      <c r="L128" s="102"/>
    </row>
    <row r="129" spans="1:12" s="116" customFormat="1" ht="18">
      <c r="A129" s="103" t="s">
        <v>88</v>
      </c>
      <c r="B129" s="104">
        <v>21.2</v>
      </c>
      <c r="C129" s="105">
        <v>510.8</v>
      </c>
      <c r="D129" s="106">
        <f>7+7.1</f>
        <v>14.1</v>
      </c>
      <c r="E129" s="107">
        <f>D129/D128*100</f>
        <v>45.63106796116505</v>
      </c>
      <c r="F129" s="107">
        <f>D129/B129*100</f>
        <v>66.50943396226415</v>
      </c>
      <c r="G129" s="107">
        <f t="shared" si="14"/>
        <v>2.7603758809710257</v>
      </c>
      <c r="H129" s="105">
        <f t="shared" si="18"/>
        <v>7.1</v>
      </c>
      <c r="I129" s="105">
        <f t="shared" si="16"/>
        <v>496.7</v>
      </c>
      <c r="J129" s="168"/>
      <c r="K129" s="156"/>
      <c r="L129" s="102"/>
    </row>
    <row r="130" spans="1:12" s="115" customFormat="1" ht="36.75">
      <c r="A130" s="108" t="s">
        <v>103</v>
      </c>
      <c r="B130" s="109">
        <v>10</v>
      </c>
      <c r="C130" s="110">
        <v>485</v>
      </c>
      <c r="D130" s="111"/>
      <c r="E130" s="114">
        <f>D130/D107*100</f>
        <v>0</v>
      </c>
      <c r="F130" s="112">
        <f t="shared" si="17"/>
        <v>0</v>
      </c>
      <c r="G130" s="100">
        <f t="shared" si="14"/>
        <v>0</v>
      </c>
      <c r="H130" s="101">
        <f t="shared" si="18"/>
        <v>10</v>
      </c>
      <c r="I130" s="101">
        <f t="shared" si="16"/>
        <v>485</v>
      </c>
      <c r="J130" s="157"/>
      <c r="K130" s="156"/>
      <c r="L130" s="102"/>
    </row>
    <row r="131" spans="1:12" s="116" customFormat="1" ht="18" hidden="1">
      <c r="A131" s="113" t="s">
        <v>43</v>
      </c>
      <c r="B131" s="104"/>
      <c r="C131" s="105"/>
      <c r="D131" s="106"/>
      <c r="E131" s="107"/>
      <c r="F131" s="107" t="e">
        <f>D131/B131*100</f>
        <v>#DIV/0!</v>
      </c>
      <c r="G131" s="107" t="e">
        <f t="shared" si="14"/>
        <v>#DIV/0!</v>
      </c>
      <c r="H131" s="105">
        <f t="shared" si="18"/>
        <v>0</v>
      </c>
      <c r="I131" s="105">
        <f t="shared" si="16"/>
        <v>0</v>
      </c>
      <c r="J131" s="168"/>
      <c r="K131" s="156"/>
      <c r="L131" s="102"/>
    </row>
    <row r="132" spans="1:12" s="115" customFormat="1" ht="35.25" customHeight="1" hidden="1">
      <c r="A132" s="108" t="s">
        <v>102</v>
      </c>
      <c r="B132" s="109"/>
      <c r="C132" s="110"/>
      <c r="D132" s="111"/>
      <c r="E132" s="114">
        <f>D132/D107*100</f>
        <v>0</v>
      </c>
      <c r="F132" s="100" t="e">
        <f t="shared" si="17"/>
        <v>#DIV/0!</v>
      </c>
      <c r="G132" s="100" t="e">
        <f t="shared" si="14"/>
        <v>#DIV/0!</v>
      </c>
      <c r="H132" s="101">
        <f t="shared" si="18"/>
        <v>0</v>
      </c>
      <c r="I132" s="101">
        <f>C132-D132</f>
        <v>0</v>
      </c>
      <c r="J132" s="157"/>
      <c r="K132" s="156"/>
      <c r="L132" s="102"/>
    </row>
    <row r="133" spans="1:12" s="115" customFormat="1" ht="21.75" customHeight="1" hidden="1">
      <c r="A133" s="108" t="s">
        <v>101</v>
      </c>
      <c r="B133" s="109"/>
      <c r="C133" s="110"/>
      <c r="D133" s="111"/>
      <c r="E133" s="114">
        <f>D133/D107*100</f>
        <v>0</v>
      </c>
      <c r="F133" s="100" t="e">
        <f t="shared" si="17"/>
        <v>#DIV/0!</v>
      </c>
      <c r="G133" s="100" t="e">
        <f t="shared" si="14"/>
        <v>#DIV/0!</v>
      </c>
      <c r="H133" s="101">
        <f t="shared" si="18"/>
        <v>0</v>
      </c>
      <c r="I133" s="101">
        <f t="shared" si="16"/>
        <v>0</v>
      </c>
      <c r="J133" s="157"/>
      <c r="K133" s="156"/>
      <c r="L133" s="102"/>
    </row>
    <row r="134" spans="1:13" s="115" customFormat="1" ht="35.25" customHeight="1">
      <c r="A134" s="108" t="s">
        <v>87</v>
      </c>
      <c r="B134" s="109">
        <v>35</v>
      </c>
      <c r="C134" s="110">
        <v>383.2</v>
      </c>
      <c r="D134" s="111"/>
      <c r="E134" s="114">
        <f>D134/D107*100</f>
        <v>0</v>
      </c>
      <c r="F134" s="100">
        <f t="shared" si="17"/>
        <v>0</v>
      </c>
      <c r="G134" s="100">
        <f t="shared" si="14"/>
        <v>0</v>
      </c>
      <c r="H134" s="101">
        <f t="shared" si="18"/>
        <v>35</v>
      </c>
      <c r="I134" s="101">
        <f t="shared" si="16"/>
        <v>383.2</v>
      </c>
      <c r="J134" s="157"/>
      <c r="K134" s="180"/>
      <c r="L134" s="181"/>
      <c r="M134" s="157"/>
    </row>
    <row r="135" spans="1:13" s="115" customFormat="1" ht="39" customHeight="1">
      <c r="A135" s="108" t="s">
        <v>54</v>
      </c>
      <c r="B135" s="109">
        <v>0</v>
      </c>
      <c r="C135" s="110">
        <v>350</v>
      </c>
      <c r="D135" s="111"/>
      <c r="E135" s="114">
        <f>D135/D107*100</f>
        <v>0</v>
      </c>
      <c r="F135" s="100" t="e">
        <f t="shared" si="17"/>
        <v>#DIV/0!</v>
      </c>
      <c r="G135" s="100">
        <f t="shared" si="14"/>
        <v>0</v>
      </c>
      <c r="H135" s="101">
        <f t="shared" si="18"/>
        <v>0</v>
      </c>
      <c r="I135" s="101">
        <f t="shared" si="16"/>
        <v>350</v>
      </c>
      <c r="J135" s="157"/>
      <c r="K135" s="180"/>
      <c r="L135" s="181"/>
      <c r="M135" s="157"/>
    </row>
    <row r="136" spans="1:13" s="116" customFormat="1" ht="18">
      <c r="A136" s="103" t="s">
        <v>88</v>
      </c>
      <c r="B136" s="104">
        <v>0</v>
      </c>
      <c r="C136" s="105">
        <v>110</v>
      </c>
      <c r="D136" s="106"/>
      <c r="E136" s="107"/>
      <c r="F136" s="100" t="e">
        <f>D136/B136*100</f>
        <v>#DIV/0!</v>
      </c>
      <c r="G136" s="107">
        <f>D136/C136*100</f>
        <v>0</v>
      </c>
      <c r="H136" s="105">
        <f>B136-D136</f>
        <v>0</v>
      </c>
      <c r="I136" s="105">
        <f>C136-D136</f>
        <v>110</v>
      </c>
      <c r="J136" s="168"/>
      <c r="K136" s="180"/>
      <c r="L136" s="181"/>
      <c r="M136" s="168"/>
    </row>
    <row r="137" spans="1:13" s="115" customFormat="1" ht="36.75" hidden="1">
      <c r="A137" s="108" t="s">
        <v>84</v>
      </c>
      <c r="B137" s="109"/>
      <c r="C137" s="110"/>
      <c r="D137" s="111"/>
      <c r="E137" s="114">
        <f>D137/D107*100</f>
        <v>0</v>
      </c>
      <c r="F137" s="100" t="e">
        <f>D137/B137*100</f>
        <v>#DIV/0!</v>
      </c>
      <c r="G137" s="100" t="e">
        <f>D137/C137*100</f>
        <v>#DIV/0!</v>
      </c>
      <c r="H137" s="101">
        <f t="shared" si="18"/>
        <v>0</v>
      </c>
      <c r="I137" s="101">
        <f t="shared" si="16"/>
        <v>0</v>
      </c>
      <c r="J137" s="157"/>
      <c r="K137" s="180"/>
      <c r="L137" s="181"/>
      <c r="M137" s="157"/>
    </row>
    <row r="138" spans="1:13" s="116" customFormat="1" ht="18" hidden="1">
      <c r="A138" s="103" t="s">
        <v>25</v>
      </c>
      <c r="B138" s="104"/>
      <c r="C138" s="105"/>
      <c r="D138" s="106"/>
      <c r="E138" s="107" t="e">
        <f>D138/D137*100</f>
        <v>#DIV/0!</v>
      </c>
      <c r="F138" s="107" t="e">
        <f t="shared" si="17"/>
        <v>#DIV/0!</v>
      </c>
      <c r="G138" s="107" t="e">
        <f>D138/C138*100</f>
        <v>#DIV/0!</v>
      </c>
      <c r="H138" s="105">
        <f t="shared" si="18"/>
        <v>0</v>
      </c>
      <c r="I138" s="105">
        <f t="shared" si="16"/>
        <v>0</v>
      </c>
      <c r="J138" s="168"/>
      <c r="K138" s="180"/>
      <c r="L138" s="181"/>
      <c r="M138" s="168"/>
    </row>
    <row r="139" spans="1:13" s="115" customFormat="1" ht="18">
      <c r="A139" s="108" t="s">
        <v>96</v>
      </c>
      <c r="B139" s="109">
        <v>277</v>
      </c>
      <c r="C139" s="110">
        <v>1760</v>
      </c>
      <c r="D139" s="111">
        <f>107.3+0.4+30.4+78.2</f>
        <v>216.3</v>
      </c>
      <c r="E139" s="114">
        <f>D139/D107*100</f>
        <v>1.2585386289318423</v>
      </c>
      <c r="F139" s="100">
        <f t="shared" si="17"/>
        <v>78.08664259927798</v>
      </c>
      <c r="G139" s="100">
        <f t="shared" si="14"/>
        <v>12.289772727272728</v>
      </c>
      <c r="H139" s="101">
        <f t="shared" si="18"/>
        <v>60.69999999999999</v>
      </c>
      <c r="I139" s="101">
        <f t="shared" si="16"/>
        <v>1543.7</v>
      </c>
      <c r="J139" s="157"/>
      <c r="K139" s="180"/>
      <c r="L139" s="181"/>
      <c r="M139" s="157"/>
    </row>
    <row r="140" spans="1:13" s="116" customFormat="1" ht="18">
      <c r="A140" s="113" t="s">
        <v>43</v>
      </c>
      <c r="B140" s="104">
        <f>115.1+116.5</f>
        <v>231.6</v>
      </c>
      <c r="C140" s="105">
        <v>1437.4</v>
      </c>
      <c r="D140" s="106">
        <f>107.3+25.4+76</f>
        <v>208.7</v>
      </c>
      <c r="E140" s="107">
        <f>D140/D139*100</f>
        <v>96.48636153490521</v>
      </c>
      <c r="F140" s="107">
        <f aca="true" t="shared" si="19" ref="F140:F149">D140/B140*100</f>
        <v>90.11226252158895</v>
      </c>
      <c r="G140" s="107">
        <f t="shared" si="14"/>
        <v>14.519270905802143</v>
      </c>
      <c r="H140" s="105">
        <f t="shared" si="18"/>
        <v>22.900000000000006</v>
      </c>
      <c r="I140" s="105">
        <f t="shared" si="16"/>
        <v>1228.7</v>
      </c>
      <c r="J140" s="168"/>
      <c r="K140" s="180"/>
      <c r="L140" s="181"/>
      <c r="M140" s="168"/>
    </row>
    <row r="141" spans="1:13" s="116" customFormat="1" ht="18">
      <c r="A141" s="103" t="s">
        <v>25</v>
      </c>
      <c r="B141" s="104">
        <f>8+7.4</f>
        <v>15.4</v>
      </c>
      <c r="C141" s="105">
        <v>40</v>
      </c>
      <c r="D141" s="106">
        <f>0.4+4.9</f>
        <v>5.300000000000001</v>
      </c>
      <c r="E141" s="107">
        <f>D141/D139*100</f>
        <v>2.450300508552936</v>
      </c>
      <c r="F141" s="107">
        <f t="shared" si="19"/>
        <v>34.41558441558442</v>
      </c>
      <c r="G141" s="107">
        <f>D141/C141*100</f>
        <v>13.25</v>
      </c>
      <c r="H141" s="105">
        <f t="shared" si="18"/>
        <v>10.1</v>
      </c>
      <c r="I141" s="105">
        <f t="shared" si="16"/>
        <v>34.7</v>
      </c>
      <c r="J141" s="168"/>
      <c r="K141" s="180"/>
      <c r="L141" s="181"/>
      <c r="M141" s="182"/>
    </row>
    <row r="142" spans="1:13" s="115" customFormat="1" ht="33.75" customHeight="1" hidden="1">
      <c r="A142" s="119" t="s">
        <v>56</v>
      </c>
      <c r="B142" s="109"/>
      <c r="C142" s="110"/>
      <c r="D142" s="111"/>
      <c r="E142" s="114">
        <f>D142/D107*100</f>
        <v>0</v>
      </c>
      <c r="F142" s="100" t="e">
        <f t="shared" si="19"/>
        <v>#DIV/0!</v>
      </c>
      <c r="G142" s="100" t="e">
        <f t="shared" si="14"/>
        <v>#DIV/0!</v>
      </c>
      <c r="H142" s="101">
        <f t="shared" si="18"/>
        <v>0</v>
      </c>
      <c r="I142" s="101">
        <f t="shared" si="16"/>
        <v>0</v>
      </c>
      <c r="J142" s="157"/>
      <c r="K142" s="180"/>
      <c r="L142" s="181"/>
      <c r="M142" s="157"/>
    </row>
    <row r="143" spans="1:13" s="115" customFormat="1" ht="18" hidden="1">
      <c r="A143" s="119" t="s">
        <v>92</v>
      </c>
      <c r="B143" s="109"/>
      <c r="C143" s="110"/>
      <c r="D143" s="111"/>
      <c r="E143" s="114">
        <f>D143/D107*100</f>
        <v>0</v>
      </c>
      <c r="F143" s="100" t="e">
        <f>D143/B143*100</f>
        <v>#DIV/0!</v>
      </c>
      <c r="G143" s="100" t="e">
        <f t="shared" si="14"/>
        <v>#DIV/0!</v>
      </c>
      <c r="H143" s="101">
        <f t="shared" si="18"/>
        <v>0</v>
      </c>
      <c r="I143" s="101">
        <f t="shared" si="16"/>
        <v>0</v>
      </c>
      <c r="J143" s="157"/>
      <c r="K143" s="180"/>
      <c r="L143" s="181"/>
      <c r="M143" s="157"/>
    </row>
    <row r="144" spans="1:13" s="115" customFormat="1" ht="18">
      <c r="A144" s="119" t="s">
        <v>97</v>
      </c>
      <c r="B144" s="109">
        <v>7182.8</v>
      </c>
      <c r="C144" s="110">
        <v>56447.1</v>
      </c>
      <c r="D144" s="111">
        <f>254.7+197.5+629.8+725.8+539.8</f>
        <v>2347.6</v>
      </c>
      <c r="E144" s="114">
        <f>D144/D107*100</f>
        <v>13.65947889634948</v>
      </c>
      <c r="F144" s="100">
        <f t="shared" si="19"/>
        <v>32.68363312357298</v>
      </c>
      <c r="G144" s="100">
        <f t="shared" si="14"/>
        <v>4.158938191687438</v>
      </c>
      <c r="H144" s="101">
        <f t="shared" si="18"/>
        <v>4835.200000000001</v>
      </c>
      <c r="I144" s="101">
        <f t="shared" si="16"/>
        <v>54099.5</v>
      </c>
      <c r="J144" s="157"/>
      <c r="K144" s="180"/>
      <c r="L144" s="181"/>
      <c r="M144" s="157"/>
    </row>
    <row r="145" spans="1:13" s="115" customFormat="1" ht="18" hidden="1">
      <c r="A145" s="119" t="s">
        <v>86</v>
      </c>
      <c r="B145" s="109"/>
      <c r="C145" s="110"/>
      <c r="D145" s="111"/>
      <c r="E145" s="114">
        <f>D145/D107*100</f>
        <v>0</v>
      </c>
      <c r="F145" s="100" t="e">
        <f t="shared" si="19"/>
        <v>#DIV/0!</v>
      </c>
      <c r="G145" s="100" t="e">
        <f t="shared" si="14"/>
        <v>#DIV/0!</v>
      </c>
      <c r="H145" s="101">
        <f t="shared" si="18"/>
        <v>0</v>
      </c>
      <c r="I145" s="101">
        <f t="shared" si="16"/>
        <v>0</v>
      </c>
      <c r="J145" s="157"/>
      <c r="K145" s="180"/>
      <c r="L145" s="181"/>
      <c r="M145" s="157"/>
    </row>
    <row r="146" spans="1:13" s="115" customFormat="1" ht="36.75" hidden="1">
      <c r="A146" s="119" t="s">
        <v>104</v>
      </c>
      <c r="B146" s="109"/>
      <c r="C146" s="110"/>
      <c r="D146" s="111"/>
      <c r="E146" s="114">
        <f>D146/D109*100</f>
        <v>0</v>
      </c>
      <c r="F146" s="100" t="e">
        <f>D146/B146*100</f>
        <v>#DIV/0!</v>
      </c>
      <c r="G146" s="100" t="e">
        <f>D146/C146*100</f>
        <v>#DIV/0!</v>
      </c>
      <c r="H146" s="101">
        <f>B146-D146</f>
        <v>0</v>
      </c>
      <c r="I146" s="101">
        <f>C146-D146</f>
        <v>0</v>
      </c>
      <c r="J146" s="157"/>
      <c r="K146" s="180"/>
      <c r="L146" s="181"/>
      <c r="M146" s="157"/>
    </row>
    <row r="147" spans="1:13" s="115" customFormat="1" ht="18">
      <c r="A147" s="108" t="s">
        <v>98</v>
      </c>
      <c r="B147" s="109">
        <v>0</v>
      </c>
      <c r="C147" s="110">
        <v>162.3</v>
      </c>
      <c r="D147" s="111"/>
      <c r="E147" s="114">
        <f>D147/D107*100</f>
        <v>0</v>
      </c>
      <c r="F147" s="100" t="e">
        <f t="shared" si="19"/>
        <v>#DIV/0!</v>
      </c>
      <c r="G147" s="100">
        <f t="shared" si="14"/>
        <v>0</v>
      </c>
      <c r="H147" s="101">
        <f t="shared" si="18"/>
        <v>0</v>
      </c>
      <c r="I147" s="101">
        <f t="shared" si="16"/>
        <v>162.3</v>
      </c>
      <c r="J147" s="157"/>
      <c r="K147" s="180"/>
      <c r="L147" s="181"/>
      <c r="M147" s="157"/>
    </row>
    <row r="148" spans="1:13" s="115" customFormat="1" ht="18" customHeight="1">
      <c r="A148" s="108" t="s">
        <v>77</v>
      </c>
      <c r="B148" s="109">
        <v>900</v>
      </c>
      <c r="C148" s="110">
        <v>10563.8</v>
      </c>
      <c r="D148" s="111">
        <v>791.9</v>
      </c>
      <c r="E148" s="114">
        <f>D148/D107*100</f>
        <v>4.607659455622403</v>
      </c>
      <c r="F148" s="100">
        <f t="shared" si="19"/>
        <v>87.98888888888888</v>
      </c>
      <c r="G148" s="100">
        <f t="shared" si="14"/>
        <v>7.496355478142336</v>
      </c>
      <c r="H148" s="101">
        <f t="shared" si="18"/>
        <v>108.10000000000002</v>
      </c>
      <c r="I148" s="101">
        <f t="shared" si="16"/>
        <v>9771.9</v>
      </c>
      <c r="J148" s="157"/>
      <c r="K148" s="180"/>
      <c r="L148" s="181"/>
      <c r="M148" s="157"/>
    </row>
    <row r="149" spans="1:13" s="115" customFormat="1" ht="19.5" customHeight="1">
      <c r="A149" s="149" t="s">
        <v>50</v>
      </c>
      <c r="B149" s="150">
        <v>0</v>
      </c>
      <c r="C149" s="151">
        <v>321056.7</v>
      </c>
      <c r="D149" s="152"/>
      <c r="E149" s="153">
        <f>D149/D107*100</f>
        <v>0</v>
      </c>
      <c r="F149" s="154" t="e">
        <f t="shared" si="19"/>
        <v>#DIV/0!</v>
      </c>
      <c r="G149" s="154">
        <f t="shared" si="14"/>
        <v>0</v>
      </c>
      <c r="H149" s="155">
        <f t="shared" si="18"/>
        <v>0</v>
      </c>
      <c r="I149" s="155">
        <f>C149-D149</f>
        <v>321056.7</v>
      </c>
      <c r="J149" s="157"/>
      <c r="K149" s="180"/>
      <c r="L149" s="181"/>
      <c r="M149" s="157"/>
    </row>
    <row r="150" spans="1:13" s="115" customFormat="1" ht="18">
      <c r="A150" s="108" t="s">
        <v>99</v>
      </c>
      <c r="B150" s="109">
        <f>2457.1+1062.3+3519.4</f>
        <v>7038.799999999999</v>
      </c>
      <c r="C150" s="110">
        <v>42232</v>
      </c>
      <c r="D150" s="111">
        <f>819+819+819.1+1062.3+1173.1+1173.1</f>
        <v>5865.6</v>
      </c>
      <c r="E150" s="114">
        <f>D150/D107*100</f>
        <v>34.1289143867897</v>
      </c>
      <c r="F150" s="100">
        <f t="shared" si="17"/>
        <v>83.33238620219356</v>
      </c>
      <c r="G150" s="100">
        <f t="shared" si="14"/>
        <v>13.888994127675696</v>
      </c>
      <c r="H150" s="101">
        <f t="shared" si="18"/>
        <v>1173.199999999999</v>
      </c>
      <c r="I150" s="101">
        <f t="shared" si="16"/>
        <v>36366.4</v>
      </c>
      <c r="J150" s="157"/>
      <c r="K150" s="180"/>
      <c r="L150" s="181"/>
      <c r="M150" s="157"/>
    </row>
    <row r="151" spans="1:13" s="2" customFormat="1" ht="18.75" thickBot="1">
      <c r="A151" s="29" t="s">
        <v>29</v>
      </c>
      <c r="B151" s="63"/>
      <c r="C151" s="63"/>
      <c r="D151" s="44">
        <f>D43+D69+D72+D77+D79+D87+D102+D107+D100+D84+D98</f>
        <v>18015.9</v>
      </c>
      <c r="E151" s="15"/>
      <c r="F151" s="15"/>
      <c r="G151" s="6"/>
      <c r="H151" s="52"/>
      <c r="I151" s="44"/>
      <c r="K151" s="180"/>
      <c r="L151" s="183"/>
      <c r="M151" s="157"/>
    </row>
    <row r="152" spans="1:13" ht="18.75" thickBot="1">
      <c r="A152" s="12" t="s">
        <v>18</v>
      </c>
      <c r="B152" s="40">
        <f>B6+B18+B33+B43+B51+B59+B69+B72+B77+B79+B87+B90+B95+B102+B107+B100+B84+B98+B45</f>
        <v>283920.6</v>
      </c>
      <c r="C152" s="40">
        <f>C6+C18+C33+C43+C51+C59+C69+C72+C77+C79+C87+C90+C95+C102+C107+C100+C84+C98+C45</f>
        <v>2103189.8</v>
      </c>
      <c r="D152" s="40">
        <f>D6+D18+D33+D43+D51+D59+D69+D72+D77+D79+D87+D90+D95+D102+D107+D100+D84+D98+D45</f>
        <v>235303.69999999992</v>
      </c>
      <c r="E152" s="28">
        <v>100</v>
      </c>
      <c r="F152" s="3">
        <f>D152/B152*100</f>
        <v>82.87658591873924</v>
      </c>
      <c r="G152" s="3">
        <f aca="true" t="shared" si="20" ref="G152:G158">D152/C152*100</f>
        <v>11.18794414084739</v>
      </c>
      <c r="H152" s="40">
        <f aca="true" t="shared" si="21" ref="H152:H158">B152-D152</f>
        <v>48616.90000000005</v>
      </c>
      <c r="I152" s="40">
        <f aca="true" t="shared" si="22" ref="I152:I158">C152-D152</f>
        <v>1867886.0999999999</v>
      </c>
      <c r="K152" s="184"/>
      <c r="L152" s="185"/>
      <c r="M152" s="158"/>
    </row>
    <row r="153" spans="1:13" ht="18">
      <c r="A153" s="16" t="s">
        <v>5</v>
      </c>
      <c r="B153" s="51">
        <f>B8+B20+B34+B52+B60+B91+B115+B119+B46+B140+B131+B103</f>
        <v>139017.7</v>
      </c>
      <c r="C153" s="51">
        <f>C8+C20+C34+C52+C60+C91+C115+C119+C46+C140+C131+C103</f>
        <v>889812.0000000001</v>
      </c>
      <c r="D153" s="51">
        <f>D8+D20+D34+D52+D60+D91+D115+D119+D46+D140+D131+D103</f>
        <v>133940.11</v>
      </c>
      <c r="E153" s="6">
        <f>D153/D152*100</f>
        <v>56.9222285922406</v>
      </c>
      <c r="F153" s="6">
        <f aca="true" t="shared" si="23" ref="F153:F158">D153/B153*100</f>
        <v>96.34752265359013</v>
      </c>
      <c r="G153" s="6">
        <f t="shared" si="20"/>
        <v>15.052630218518065</v>
      </c>
      <c r="H153" s="52">
        <f t="shared" si="21"/>
        <v>5077.590000000026</v>
      </c>
      <c r="I153" s="62">
        <f t="shared" si="22"/>
        <v>755871.8900000001</v>
      </c>
      <c r="K153" s="180"/>
      <c r="L153" s="185"/>
      <c r="M153" s="158"/>
    </row>
    <row r="154" spans="1:13" ht="18">
      <c r="A154" s="16" t="s">
        <v>0</v>
      </c>
      <c r="B154" s="52">
        <f>B11+B23+B36+B55+B62+B92+B49+B141+B109+B112+B96+B138</f>
        <v>28890.800000000003</v>
      </c>
      <c r="C154" s="52">
        <f>C11+C23+C36+C55+C62+C92+C49+C141+C109+C112+C96+C138</f>
        <v>110074.39999999998</v>
      </c>
      <c r="D154" s="52">
        <f>D11+D23+D36+D55+D62+D92+D49+D141+D109+D112+D96+D138</f>
        <v>13468.900000000001</v>
      </c>
      <c r="E154" s="6">
        <f>D154/D152*100</f>
        <v>5.724049388088673</v>
      </c>
      <c r="F154" s="6">
        <f t="shared" si="23"/>
        <v>46.620031290237726</v>
      </c>
      <c r="G154" s="6">
        <f t="shared" si="20"/>
        <v>12.236178439310143</v>
      </c>
      <c r="H154" s="52">
        <f t="shared" si="21"/>
        <v>15421.900000000001</v>
      </c>
      <c r="I154" s="62">
        <f t="shared" si="22"/>
        <v>96605.49999999997</v>
      </c>
      <c r="K154" s="180"/>
      <c r="L154" s="186"/>
      <c r="M154" s="158"/>
    </row>
    <row r="155" spans="1:13" ht="18">
      <c r="A155" s="16" t="s">
        <v>1</v>
      </c>
      <c r="B155" s="51">
        <f>B22+B10+B54+B48+B61+B35+B123</f>
        <v>9052.1</v>
      </c>
      <c r="C155" s="51">
        <f>C22+C10+C54+C48+C61+C35+C123</f>
        <v>54269.5</v>
      </c>
      <c r="D155" s="51">
        <f>D22+D10+D54+D48+D61+D35+D123</f>
        <v>3027.6</v>
      </c>
      <c r="E155" s="6">
        <f>D155/D152*100</f>
        <v>1.2866776000547382</v>
      </c>
      <c r="F155" s="6">
        <f t="shared" si="23"/>
        <v>33.44638260735078</v>
      </c>
      <c r="G155" s="6">
        <f t="shared" si="20"/>
        <v>5.578824201439113</v>
      </c>
      <c r="H155" s="52">
        <f t="shared" si="21"/>
        <v>6024.5</v>
      </c>
      <c r="I155" s="62">
        <f t="shared" si="22"/>
        <v>51241.9</v>
      </c>
      <c r="K155" s="180"/>
      <c r="L155" s="185"/>
      <c r="M155" s="158"/>
    </row>
    <row r="156" spans="1:12" ht="21" customHeight="1">
      <c r="A156" s="16" t="s">
        <v>14</v>
      </c>
      <c r="B156" s="51">
        <f>B12+B24+B104+B63+B38+B93+B129+B56+B136</f>
        <v>3922.5999999999995</v>
      </c>
      <c r="C156" s="51">
        <f>C12+C24+C104+C63+C38+C93+C129+C56+C136</f>
        <v>40455.4</v>
      </c>
      <c r="D156" s="51">
        <f>D12+D24+D104+D63+D38+D93+D129+D56+D136</f>
        <v>3107.7999999999997</v>
      </c>
      <c r="E156" s="6">
        <f>D156/D152*100</f>
        <v>1.3207612119996417</v>
      </c>
      <c r="F156" s="6">
        <f t="shared" si="23"/>
        <v>79.2280630194259</v>
      </c>
      <c r="G156" s="6">
        <f t="shared" si="20"/>
        <v>7.682039974885922</v>
      </c>
      <c r="H156" s="52">
        <f>B156-D156</f>
        <v>814.7999999999997</v>
      </c>
      <c r="I156" s="62">
        <f t="shared" si="22"/>
        <v>37347.6</v>
      </c>
      <c r="K156" s="156"/>
      <c r="L156" s="69"/>
    </row>
    <row r="157" spans="1:12" ht="18">
      <c r="A157" s="16" t="s">
        <v>2</v>
      </c>
      <c r="B157" s="51">
        <f>B9+B21+B47+B53+B122</f>
        <v>0</v>
      </c>
      <c r="C157" s="51">
        <f>C9+C21+C47+C53+C122</f>
        <v>13.9</v>
      </c>
      <c r="D157" s="51">
        <f>D9+D21+D47+D53+D122</f>
        <v>0</v>
      </c>
      <c r="E157" s="6">
        <f>D157/D152*100</f>
        <v>0</v>
      </c>
      <c r="F157" s="6" t="e">
        <f t="shared" si="23"/>
        <v>#DIV/0!</v>
      </c>
      <c r="G157" s="6">
        <f t="shared" si="20"/>
        <v>0</v>
      </c>
      <c r="H157" s="52">
        <f t="shared" si="21"/>
        <v>0</v>
      </c>
      <c r="I157" s="62">
        <f t="shared" si="22"/>
        <v>13.9</v>
      </c>
      <c r="K157" s="156"/>
      <c r="L157" s="33"/>
    </row>
    <row r="158" spans="1:12" ht="18.75" thickBot="1">
      <c r="A158" s="88" t="s">
        <v>27</v>
      </c>
      <c r="B158" s="64">
        <f>B152-B153-B154-B155-B156-B157</f>
        <v>103037.39999999995</v>
      </c>
      <c r="C158" s="64">
        <f>C152-C153-C154-C155-C156-C157</f>
        <v>1008564.5999999999</v>
      </c>
      <c r="D158" s="64">
        <f>D152-D153-D154-D155-D156-D157</f>
        <v>81759.28999999994</v>
      </c>
      <c r="E158" s="31">
        <f>D158/D152*100</f>
        <v>34.74628320761635</v>
      </c>
      <c r="F158" s="31">
        <f t="shared" si="23"/>
        <v>79.34913924458496</v>
      </c>
      <c r="G158" s="31">
        <f t="shared" si="20"/>
        <v>8.106500069504714</v>
      </c>
      <c r="H158" s="89">
        <f t="shared" si="21"/>
        <v>21278.110000000015</v>
      </c>
      <c r="I158" s="89">
        <f t="shared" si="22"/>
        <v>926805.3099999999</v>
      </c>
      <c r="K158" s="156"/>
      <c r="L158" s="69"/>
    </row>
    <row r="159" spans="7:8" ht="12.75">
      <c r="G159" s="18"/>
      <c r="H159" s="18"/>
    </row>
    <row r="160" spans="3:11" ht="12.75">
      <c r="C160" s="156"/>
      <c r="G160" s="18"/>
      <c r="H160" s="18"/>
      <c r="I160" s="18"/>
      <c r="K160" s="95"/>
    </row>
    <row r="161" spans="7:11" ht="12.75">
      <c r="G161" s="18"/>
      <c r="H161" s="18"/>
      <c r="K161" s="95"/>
    </row>
    <row r="162" spans="7:11" ht="12.75">
      <c r="G162" s="18"/>
      <c r="H162" s="18"/>
      <c r="K162" s="95"/>
    </row>
    <row r="163" spans="4:8" ht="12.75">
      <c r="D163" s="156"/>
      <c r="G163" s="18"/>
      <c r="H163" s="18"/>
    </row>
    <row r="164" spans="2:8" ht="12.75">
      <c r="B164" s="162"/>
      <c r="C164" s="163"/>
      <c r="G164" s="18"/>
      <c r="H164" s="18"/>
    </row>
    <row r="165" spans="2:8" ht="12.75">
      <c r="B165" s="92"/>
      <c r="C165" s="92"/>
      <c r="D165" s="92"/>
      <c r="G165" s="18"/>
      <c r="H165" s="18"/>
    </row>
    <row r="166" spans="2:8" ht="12.75">
      <c r="B166" s="92"/>
      <c r="G166" s="18"/>
      <c r="H166" s="18"/>
    </row>
    <row r="167" spans="2:8" ht="12.75">
      <c r="B167" s="92"/>
      <c r="C167" s="156"/>
      <c r="G167" s="18"/>
      <c r="H167" s="18"/>
    </row>
    <row r="168" spans="7:8" ht="12.75">
      <c r="G168" s="18"/>
      <c r="H168" s="18"/>
    </row>
    <row r="169" spans="7:8" ht="12.75">
      <c r="G169" s="18"/>
      <c r="H169" s="18"/>
    </row>
    <row r="170" spans="7:8" ht="12.75">
      <c r="G170" s="18"/>
      <c r="H170" s="18"/>
    </row>
    <row r="171" spans="7:8" ht="12.75">
      <c r="G171" s="18"/>
      <c r="H171" s="18"/>
    </row>
    <row r="172" spans="7:8" ht="12.75">
      <c r="G172" s="18"/>
      <c r="H172" s="18"/>
    </row>
    <row r="173" spans="3:8" ht="12.75">
      <c r="C173" s="156"/>
      <c r="G173" s="18"/>
      <c r="H173" s="18"/>
    </row>
    <row r="174" spans="7:8" ht="12.75">
      <c r="G174" s="18"/>
      <c r="H174" s="18"/>
    </row>
    <row r="175" spans="7:8" ht="12.75">
      <c r="G175" s="18"/>
      <c r="H175" s="18"/>
    </row>
    <row r="176" spans="7:8" ht="12.75">
      <c r="G176" s="18"/>
      <c r="H176" s="18"/>
    </row>
    <row r="177" spans="7:8" ht="12.75">
      <c r="G177" s="18"/>
      <c r="H177" s="18"/>
    </row>
    <row r="178" spans="7:8" ht="12.75">
      <c r="G178" s="18"/>
      <c r="H178" s="18"/>
    </row>
    <row r="179" spans="7:8" ht="12.75">
      <c r="G179" s="18"/>
      <c r="H179" s="18"/>
    </row>
    <row r="180" spans="7:8" ht="12.75">
      <c r="G180" s="18"/>
      <c r="H180" s="18"/>
    </row>
    <row r="181" spans="7:8" ht="12.75">
      <c r="G181" s="18"/>
      <c r="H181" s="18"/>
    </row>
    <row r="182" spans="7:8" ht="12.75">
      <c r="G182" s="18"/>
      <c r="H182" s="18"/>
    </row>
    <row r="183" spans="7:8" ht="12.75">
      <c r="G183" s="18"/>
      <c r="H183" s="18"/>
    </row>
    <row r="184" spans="7:8" ht="12.75">
      <c r="G184" s="18"/>
      <c r="H184" s="18"/>
    </row>
    <row r="185" spans="7:8" ht="12.75">
      <c r="G185" s="18"/>
      <c r="H185" s="18"/>
    </row>
    <row r="186" spans="7:8" ht="12.75">
      <c r="G186" s="18"/>
      <c r="H186" s="18"/>
    </row>
    <row r="187" spans="7:8" ht="12.75">
      <c r="G187" s="18"/>
      <c r="H187" s="18"/>
    </row>
    <row r="188" spans="7:8" ht="12.75">
      <c r="G188" s="18"/>
      <c r="H188" s="18"/>
    </row>
    <row r="189" spans="7:8" ht="12.75">
      <c r="G189" s="18"/>
      <c r="H189" s="18"/>
    </row>
    <row r="190" spans="7:8" ht="12.75">
      <c r="G190" s="18"/>
      <c r="H190" s="18"/>
    </row>
    <row r="191" spans="7:8" ht="12.75">
      <c r="G191" s="18"/>
      <c r="H191" s="18"/>
    </row>
    <row r="192" spans="7:8" ht="12.75">
      <c r="G192" s="18"/>
      <c r="H192" s="18"/>
    </row>
    <row r="193" spans="7:8" ht="12.75">
      <c r="G193" s="18"/>
      <c r="H193" s="18"/>
    </row>
    <row r="194" spans="7:8" ht="12.75">
      <c r="G194" s="18"/>
      <c r="H194" s="18"/>
    </row>
    <row r="195" spans="7:8" ht="12.75">
      <c r="G195" s="18"/>
      <c r="H195" s="18"/>
    </row>
    <row r="196" spans="7:8" ht="12.75">
      <c r="G196" s="18"/>
      <c r="H196" s="18"/>
    </row>
    <row r="197" spans="7:8" ht="12.75">
      <c r="G197" s="18"/>
      <c r="H197" s="18"/>
    </row>
    <row r="198" spans="7:8" ht="12.75">
      <c r="G198" s="18"/>
      <c r="H198" s="18"/>
    </row>
    <row r="199" spans="7:8" ht="12.75">
      <c r="G199" s="18"/>
      <c r="H199" s="18"/>
    </row>
    <row r="200" spans="7:8" ht="12.75">
      <c r="G200" s="18"/>
      <c r="H200" s="18"/>
    </row>
    <row r="201" spans="7:8" ht="12.75">
      <c r="G201" s="18"/>
      <c r="H201" s="18"/>
    </row>
    <row r="202" spans="7:8" ht="12.75">
      <c r="G202" s="18"/>
      <c r="H202" s="18"/>
    </row>
    <row r="203" spans="7:8" ht="12.75">
      <c r="G203" s="18"/>
      <c r="H203" s="18"/>
    </row>
    <row r="204" spans="7:8" ht="12.75">
      <c r="G204" s="18"/>
      <c r="H204" s="18"/>
    </row>
    <row r="205" spans="7:8" ht="12.75">
      <c r="G205" s="18"/>
      <c r="H205" s="18"/>
    </row>
    <row r="206" spans="7:8" ht="12.75">
      <c r="G206" s="18"/>
      <c r="H206" s="18"/>
    </row>
    <row r="207" spans="7:8" ht="12.75">
      <c r="G207" s="18"/>
      <c r="H207" s="18"/>
    </row>
    <row r="208" spans="7:8" ht="12.75">
      <c r="G208" s="18"/>
      <c r="H208" s="18"/>
    </row>
    <row r="209" spans="7:8" ht="12.75">
      <c r="G209" s="18"/>
      <c r="H209" s="18"/>
    </row>
    <row r="210" spans="7:8" ht="12.75">
      <c r="G210" s="18"/>
      <c r="H210" s="18"/>
    </row>
    <row r="211" spans="7:8" ht="12.75">
      <c r="G211" s="18"/>
      <c r="H211" s="18"/>
    </row>
    <row r="212" spans="7:8" ht="12.75">
      <c r="G212" s="18"/>
      <c r="H212" s="18"/>
    </row>
    <row r="213" spans="7:8" ht="12.75">
      <c r="G213" s="18"/>
      <c r="H213" s="18"/>
    </row>
    <row r="214" spans="7:8" ht="12.75">
      <c r="G214" s="18"/>
      <c r="H214" s="18"/>
    </row>
    <row r="215" spans="7:8" ht="12.75">
      <c r="G215" s="18"/>
      <c r="H215" s="18"/>
    </row>
    <row r="216" spans="7:8" ht="12.75">
      <c r="G216" s="18"/>
      <c r="H216" s="18"/>
    </row>
    <row r="217" spans="7:8" ht="12.75">
      <c r="G217" s="18"/>
      <c r="H217" s="18"/>
    </row>
    <row r="218" spans="7:8" ht="12.75">
      <c r="G218" s="18"/>
      <c r="H218" s="18"/>
    </row>
    <row r="219" spans="7:8" ht="12.75">
      <c r="G219" s="18"/>
      <c r="H219" s="18"/>
    </row>
    <row r="220" spans="7:8" ht="12.75">
      <c r="G220" s="18"/>
      <c r="H220" s="18"/>
    </row>
    <row r="221" spans="7:8" ht="12.75">
      <c r="G221" s="18"/>
      <c r="H221" s="18"/>
    </row>
    <row r="222" spans="7:8" ht="12.75">
      <c r="G222" s="18"/>
      <c r="H222" s="18"/>
    </row>
    <row r="223" spans="7:8" ht="12.75">
      <c r="G223" s="18"/>
      <c r="H223" s="18"/>
    </row>
    <row r="224" spans="7:8" ht="12.75">
      <c r="G224" s="18"/>
      <c r="H224" s="18"/>
    </row>
    <row r="225" spans="7:8" ht="12.75">
      <c r="G225" s="18"/>
      <c r="H225" s="18"/>
    </row>
    <row r="226" spans="7:8" ht="12.75">
      <c r="G226" s="18"/>
      <c r="H226" s="18"/>
    </row>
    <row r="227" spans="7:8" ht="12.75">
      <c r="G227" s="18"/>
      <c r="H227" s="18"/>
    </row>
    <row r="228" spans="7:8" ht="12.75">
      <c r="G228" s="18"/>
      <c r="H228" s="18"/>
    </row>
    <row r="229" spans="7:8" ht="12.75">
      <c r="G229" s="18"/>
      <c r="H229" s="18"/>
    </row>
    <row r="230" spans="7:8" ht="12.75">
      <c r="G230" s="18"/>
      <c r="H230" s="18"/>
    </row>
    <row r="231" spans="7:8" ht="12.75">
      <c r="G231" s="18"/>
      <c r="H231" s="18"/>
    </row>
    <row r="232" spans="7:8" ht="12.75">
      <c r="G232" s="18"/>
      <c r="H232" s="18"/>
    </row>
    <row r="233" spans="7:8" ht="12.75">
      <c r="G233" s="18"/>
      <c r="H233" s="18"/>
    </row>
    <row r="234" spans="7:8" ht="12.75">
      <c r="G234" s="18"/>
      <c r="H234" s="18"/>
    </row>
    <row r="235" spans="7:8" ht="12.75">
      <c r="G235" s="18"/>
      <c r="H235" s="18"/>
    </row>
    <row r="236" spans="7:8" ht="12.75">
      <c r="G236" s="18"/>
      <c r="H236" s="18"/>
    </row>
    <row r="237" spans="7:8" ht="12.75">
      <c r="G237" s="18"/>
      <c r="H237" s="18"/>
    </row>
    <row r="238" spans="7:8" ht="12.75">
      <c r="G238" s="18"/>
      <c r="H238" s="18"/>
    </row>
    <row r="239" spans="7:8" ht="12.75">
      <c r="G239" s="18"/>
      <c r="H239" s="18"/>
    </row>
    <row r="240" spans="7:8" ht="12.75">
      <c r="G240" s="18"/>
      <c r="H240" s="18"/>
    </row>
    <row r="241" spans="7:8" ht="12.75">
      <c r="G241" s="18"/>
      <c r="H241" s="18"/>
    </row>
    <row r="242" spans="7:8" ht="12.75">
      <c r="G242" s="18"/>
      <c r="H242" s="18"/>
    </row>
    <row r="243" spans="7:8" ht="12.75">
      <c r="G243" s="18"/>
      <c r="H243" s="18"/>
    </row>
    <row r="244" spans="7:8" ht="12.75">
      <c r="G244" s="18"/>
      <c r="H244" s="18"/>
    </row>
    <row r="245" spans="7:8" ht="12.75">
      <c r="G245" s="18"/>
      <c r="H245" s="18"/>
    </row>
    <row r="246" spans="7:8" ht="12.75">
      <c r="G246" s="18"/>
      <c r="H246" s="18"/>
    </row>
    <row r="247" spans="7:8" ht="12.75">
      <c r="G247" s="18"/>
      <c r="H247" s="18"/>
    </row>
    <row r="248" spans="7:8" ht="12.75">
      <c r="G248" s="18"/>
      <c r="H248" s="18"/>
    </row>
    <row r="249" spans="7:8" ht="12.75">
      <c r="G249" s="18"/>
      <c r="H249" s="18"/>
    </row>
    <row r="250" spans="7:8" ht="12.75">
      <c r="G250" s="18"/>
      <c r="H250" s="18"/>
    </row>
    <row r="251" spans="7:8" ht="12.75">
      <c r="G251" s="18"/>
      <c r="H251" s="18"/>
    </row>
    <row r="252" spans="7:8" ht="12.75">
      <c r="G252" s="18"/>
      <c r="H252" s="18"/>
    </row>
    <row r="253" spans="7:8" ht="12.75">
      <c r="G253" s="18"/>
      <c r="H253" s="18"/>
    </row>
    <row r="254" spans="7:8" ht="12.75">
      <c r="G254" s="18"/>
      <c r="H254" s="18"/>
    </row>
    <row r="255" spans="7:8" ht="12.75">
      <c r="G255" s="18"/>
      <c r="H255" s="18"/>
    </row>
    <row r="256" spans="7:8" ht="12.75">
      <c r="G256" s="18"/>
      <c r="H256" s="18"/>
    </row>
    <row r="257" spans="7:8" ht="12.75">
      <c r="G257" s="18"/>
      <c r="H257" s="18"/>
    </row>
    <row r="258" spans="7:8" ht="12.75">
      <c r="G258" s="18"/>
      <c r="H258" s="18"/>
    </row>
    <row r="259" spans="7:8" ht="12.75">
      <c r="G259" s="18"/>
      <c r="H259" s="18"/>
    </row>
    <row r="260" spans="7:8" ht="12.75">
      <c r="G260" s="18"/>
      <c r="H260" s="18"/>
    </row>
    <row r="261" spans="7:8" ht="12.75">
      <c r="G261" s="18"/>
      <c r="H261" s="18"/>
    </row>
    <row r="262" spans="7:8" ht="12.75">
      <c r="G262" s="18"/>
      <c r="H262" s="18"/>
    </row>
    <row r="263" spans="7:8" ht="12.75">
      <c r="G263" s="18"/>
      <c r="H263" s="18"/>
    </row>
    <row r="264" spans="7:8" ht="12.75">
      <c r="G264" s="18"/>
      <c r="H264" s="18"/>
    </row>
    <row r="265" spans="7:8" ht="12.75">
      <c r="G265" s="18"/>
      <c r="H265" s="18"/>
    </row>
    <row r="266" spans="7:8" ht="12.75">
      <c r="G266" s="18"/>
      <c r="H266" s="18"/>
    </row>
    <row r="267" spans="7:8" ht="12.75">
      <c r="G267" s="18"/>
      <c r="H267" s="18"/>
    </row>
    <row r="268" spans="7:8" ht="12.75">
      <c r="G268" s="18"/>
      <c r="H268" s="18"/>
    </row>
    <row r="269" spans="7:8" ht="12.75">
      <c r="G269" s="18"/>
      <c r="H269" s="18"/>
    </row>
    <row r="270" spans="7:8" ht="12.75">
      <c r="G270" s="18"/>
      <c r="H270" s="18"/>
    </row>
    <row r="271" spans="7:8" ht="12.75">
      <c r="G271" s="18"/>
      <c r="H271" s="18"/>
    </row>
    <row r="272" spans="7:8" ht="12.75">
      <c r="G272" s="18"/>
      <c r="H272" s="18"/>
    </row>
    <row r="273" spans="7:8" ht="12.75">
      <c r="G273" s="18"/>
      <c r="H273" s="18"/>
    </row>
    <row r="274" spans="7:8" ht="12.75">
      <c r="G274" s="18"/>
      <c r="H274" s="18"/>
    </row>
    <row r="275" spans="7:8" ht="12.75">
      <c r="G275" s="18"/>
      <c r="H275" s="18"/>
    </row>
    <row r="276" spans="7:8" ht="12.75">
      <c r="G276" s="18"/>
      <c r="H276" s="18"/>
    </row>
    <row r="277" spans="7:8" ht="12.75">
      <c r="G277" s="18"/>
      <c r="H277" s="18"/>
    </row>
    <row r="278" spans="7:8" ht="12.75">
      <c r="G278" s="18"/>
      <c r="H278" s="18"/>
    </row>
    <row r="279" spans="7:8" ht="12.75">
      <c r="G279" s="18"/>
      <c r="H279" s="18"/>
    </row>
    <row r="280" spans="7:8" ht="12.75">
      <c r="G280" s="18"/>
      <c r="H280" s="18"/>
    </row>
    <row r="281" spans="7:8" ht="12.75">
      <c r="G281" s="18"/>
      <c r="H281" s="18"/>
    </row>
    <row r="282" spans="7:8" ht="12.75">
      <c r="G282" s="18"/>
      <c r="H282" s="18"/>
    </row>
    <row r="283" spans="7:8" ht="12.75">
      <c r="G283" s="18"/>
      <c r="H283" s="18"/>
    </row>
    <row r="284" spans="7:8" ht="12.75">
      <c r="G284" s="18"/>
      <c r="H284" s="18"/>
    </row>
    <row r="285" spans="7:8" ht="12.75">
      <c r="G285" s="18"/>
      <c r="H285" s="18"/>
    </row>
    <row r="286" spans="7:8" ht="12.75">
      <c r="G286" s="18"/>
      <c r="H286" s="18"/>
    </row>
    <row r="287" spans="7:8" ht="12.75">
      <c r="G287" s="18"/>
      <c r="H287" s="18"/>
    </row>
    <row r="288" spans="7:8" ht="12.75">
      <c r="G288" s="18"/>
      <c r="H288" s="18"/>
    </row>
    <row r="289" spans="7:8" ht="12.75">
      <c r="G289" s="18"/>
      <c r="H289" s="18"/>
    </row>
    <row r="290" spans="7:8" ht="12.75">
      <c r="G290" s="18"/>
      <c r="H290" s="18"/>
    </row>
    <row r="291" spans="7:8" ht="12.75">
      <c r="G291" s="18"/>
      <c r="H291" s="18"/>
    </row>
    <row r="292" spans="7:8" ht="12.75">
      <c r="G292" s="18"/>
      <c r="H292" s="18"/>
    </row>
    <row r="293" spans="7:8" ht="12.75">
      <c r="G293" s="18"/>
      <c r="H293" s="18"/>
    </row>
    <row r="294" spans="7:8" ht="12.75">
      <c r="G294" s="18"/>
      <c r="H294" s="18"/>
    </row>
    <row r="295" spans="7:8" ht="12.75">
      <c r="G295" s="18"/>
      <c r="H295" s="18"/>
    </row>
    <row r="296" spans="7:8" ht="12.75">
      <c r="G296" s="18"/>
      <c r="H296" s="18"/>
    </row>
    <row r="297" spans="7:8" ht="12.75">
      <c r="G297" s="18"/>
      <c r="H297" s="18"/>
    </row>
    <row r="298" spans="7:8" ht="12.75">
      <c r="G298" s="18"/>
      <c r="H298" s="18"/>
    </row>
    <row r="299" spans="7:8" ht="12.75">
      <c r="G299" s="18"/>
      <c r="H299" s="18"/>
    </row>
    <row r="300" spans="7:8" ht="12.75">
      <c r="G300" s="18"/>
      <c r="H300" s="18"/>
    </row>
    <row r="301" spans="7:8" ht="12.75">
      <c r="G301" s="18"/>
      <c r="H301" s="18"/>
    </row>
    <row r="302" spans="7:8" ht="12.75">
      <c r="G302" s="18"/>
      <c r="H302" s="18"/>
    </row>
    <row r="303" spans="7:8" ht="12.75">
      <c r="G303" s="18"/>
      <c r="H303" s="18"/>
    </row>
    <row r="304" spans="7:8" ht="12.75">
      <c r="G304" s="18"/>
      <c r="H304" s="18"/>
    </row>
    <row r="305" spans="7:8" ht="12.75">
      <c r="G305" s="18"/>
      <c r="H305" s="18"/>
    </row>
    <row r="306" spans="7:8" ht="12.75">
      <c r="G306" s="18"/>
      <c r="H306" s="18"/>
    </row>
    <row r="307" spans="7:8" ht="12.75">
      <c r="G307" s="18"/>
      <c r="H307" s="18"/>
    </row>
    <row r="308" spans="7:8" ht="12.75">
      <c r="G308" s="18"/>
      <c r="H308" s="18"/>
    </row>
    <row r="309" spans="7:8" ht="12.75">
      <c r="G309" s="18"/>
      <c r="H309" s="18"/>
    </row>
    <row r="310" spans="7:8" ht="12.75">
      <c r="G310" s="18"/>
      <c r="H310" s="18"/>
    </row>
    <row r="311" spans="7:8" ht="12.75">
      <c r="G311" s="18"/>
      <c r="H311" s="18"/>
    </row>
    <row r="312" spans="7:8" ht="12.75">
      <c r="G312" s="18"/>
      <c r="H312" s="18"/>
    </row>
    <row r="313" spans="7:8" ht="12.75">
      <c r="G313" s="18"/>
      <c r="H313" s="18"/>
    </row>
    <row r="314" spans="7:8" ht="12.75">
      <c r="G314" s="18"/>
      <c r="H314" s="18"/>
    </row>
    <row r="315" spans="7:8" ht="12.75">
      <c r="G315" s="18"/>
      <c r="H315" s="18"/>
    </row>
    <row r="316" spans="7:8" ht="12.75">
      <c r="G316" s="18"/>
      <c r="H316" s="18"/>
    </row>
    <row r="317" spans="7:8" ht="12.75">
      <c r="G317" s="18"/>
      <c r="H317" s="18"/>
    </row>
    <row r="318" spans="7:8" ht="12.75">
      <c r="G318" s="18"/>
      <c r="H318" s="18"/>
    </row>
    <row r="319" spans="7:8" ht="12.75">
      <c r="G319" s="18"/>
      <c r="H319" s="18"/>
    </row>
    <row r="320" spans="7:8" ht="12.75">
      <c r="G320" s="18"/>
      <c r="H320" s="18"/>
    </row>
    <row r="321" spans="7:8" ht="12.75">
      <c r="G321" s="18"/>
      <c r="H321" s="18"/>
    </row>
    <row r="322" spans="7:8" ht="12.75">
      <c r="G322" s="18"/>
      <c r="H322" s="18"/>
    </row>
    <row r="323" spans="7:8" ht="12.75">
      <c r="G323" s="18"/>
      <c r="H323" s="18"/>
    </row>
    <row r="324" spans="7:8" ht="12.75">
      <c r="G324" s="18"/>
      <c r="H324" s="18"/>
    </row>
    <row r="325" spans="7:8" ht="12.75">
      <c r="G325" s="18"/>
      <c r="H325" s="18"/>
    </row>
    <row r="326" spans="7:8" ht="12.75">
      <c r="G326" s="18"/>
      <c r="H326" s="18"/>
    </row>
    <row r="327" spans="7:8" ht="12.75">
      <c r="G327" s="18"/>
      <c r="H327" s="18"/>
    </row>
    <row r="328" spans="7:8" ht="12.75">
      <c r="G328" s="18"/>
      <c r="H328" s="18"/>
    </row>
    <row r="329" spans="7:8" ht="12.75">
      <c r="G329" s="18"/>
      <c r="H329" s="18"/>
    </row>
    <row r="330" spans="7:8" ht="12.75">
      <c r="G330" s="18"/>
      <c r="H330" s="18"/>
    </row>
    <row r="331" spans="7:8" ht="12.75">
      <c r="G331" s="18"/>
      <c r="H331" s="18"/>
    </row>
    <row r="332" spans="7:8" ht="12.75">
      <c r="G332" s="18"/>
      <c r="H332" s="18"/>
    </row>
    <row r="333" spans="7:8" ht="12.75">
      <c r="G333" s="18"/>
      <c r="H333" s="18"/>
    </row>
    <row r="334" spans="7:8" ht="12.75">
      <c r="G334" s="18"/>
      <c r="H334" s="18"/>
    </row>
    <row r="335" spans="7:8" ht="12.75">
      <c r="G335" s="18"/>
      <c r="H335" s="18"/>
    </row>
    <row r="336" spans="7:8" ht="12.75">
      <c r="G336" s="18"/>
      <c r="H336" s="18"/>
    </row>
    <row r="337" spans="7:8" ht="12.75">
      <c r="G337" s="18"/>
      <c r="H337" s="18"/>
    </row>
    <row r="338" spans="7:8" ht="12.75">
      <c r="G338" s="18"/>
      <c r="H338" s="18"/>
    </row>
    <row r="339" spans="7:8" ht="12.75">
      <c r="G339" s="18"/>
      <c r="H339" s="18"/>
    </row>
    <row r="340" spans="7:8" ht="12.75">
      <c r="G340" s="18"/>
      <c r="H340" s="18"/>
    </row>
    <row r="341" spans="7:8" ht="12.75">
      <c r="G341" s="18"/>
      <c r="H341" s="18"/>
    </row>
    <row r="342" spans="7:8" ht="12.75">
      <c r="G342" s="18"/>
      <c r="H342" s="18"/>
    </row>
    <row r="343" spans="7:8" ht="12.75">
      <c r="G343" s="18"/>
      <c r="H343" s="18"/>
    </row>
    <row r="344" spans="7:8" ht="12.75">
      <c r="G344" s="18"/>
      <c r="H344" s="18"/>
    </row>
    <row r="345" spans="7:8" ht="12.75">
      <c r="G345" s="18"/>
      <c r="H345" s="18"/>
    </row>
    <row r="346" spans="7:8" ht="12.75">
      <c r="G346" s="18"/>
      <c r="H346" s="18"/>
    </row>
    <row r="347" spans="7:8" ht="12.75">
      <c r="G347" s="18"/>
      <c r="H347" s="18"/>
    </row>
    <row r="348" spans="7:8" ht="12.75">
      <c r="G348" s="18"/>
      <c r="H348" s="18"/>
    </row>
    <row r="349" spans="7:8" ht="12.75">
      <c r="G349" s="18"/>
      <c r="H349" s="18"/>
    </row>
    <row r="350" spans="7:8" ht="12.75">
      <c r="G350" s="18"/>
      <c r="H350" s="18"/>
    </row>
    <row r="351" spans="7:8" ht="12.75">
      <c r="G351" s="18"/>
      <c r="H351" s="18"/>
    </row>
    <row r="352" spans="7:8" ht="12.75">
      <c r="G352" s="18"/>
      <c r="H352" s="18"/>
    </row>
    <row r="353" spans="7:8" ht="12.75">
      <c r="G353" s="18"/>
      <c r="H353" s="18"/>
    </row>
    <row r="354" spans="7:8" ht="12.75">
      <c r="G354" s="18"/>
      <c r="H354" s="18"/>
    </row>
    <row r="355" spans="7:8" ht="12.75">
      <c r="G355" s="18"/>
      <c r="H355" s="18"/>
    </row>
    <row r="356" spans="7:8" ht="12.75">
      <c r="G356" s="18"/>
      <c r="H356" s="18"/>
    </row>
    <row r="357" spans="7:8" ht="12.75">
      <c r="G357" s="18"/>
      <c r="H357" s="18"/>
    </row>
    <row r="358" spans="7:8" ht="12.75">
      <c r="G358" s="18"/>
      <c r="H358" s="18"/>
    </row>
    <row r="359" spans="7:8" ht="12.75">
      <c r="G359" s="18"/>
      <c r="H359" s="18"/>
    </row>
    <row r="360" spans="7:8" ht="12.75">
      <c r="G360" s="18"/>
      <c r="H360" s="18"/>
    </row>
    <row r="361" spans="7:8" ht="12.75">
      <c r="G361" s="18"/>
      <c r="H361" s="18"/>
    </row>
    <row r="362" spans="7:8" ht="12.75">
      <c r="G362" s="18"/>
      <c r="H362" s="18"/>
    </row>
    <row r="363" spans="7:8" ht="12.75">
      <c r="G363" s="18"/>
      <c r="H363" s="18"/>
    </row>
    <row r="364" spans="7:8" ht="12.75">
      <c r="G364" s="18"/>
      <c r="H364" s="18"/>
    </row>
    <row r="365" spans="7:8" ht="12.75">
      <c r="G365" s="18"/>
      <c r="H365" s="18"/>
    </row>
    <row r="366" spans="7:8" ht="12.75">
      <c r="G366" s="18"/>
      <c r="H366" s="18"/>
    </row>
    <row r="367" spans="7:8" ht="12.75">
      <c r="G367" s="18"/>
      <c r="H367" s="18"/>
    </row>
    <row r="368" spans="7:8" ht="12.75">
      <c r="G368" s="18"/>
      <c r="H368" s="18"/>
    </row>
    <row r="369" spans="7:8" ht="12.75">
      <c r="G369" s="18"/>
      <c r="H369" s="18"/>
    </row>
    <row r="370" spans="7:8" ht="12.75">
      <c r="G370" s="18"/>
      <c r="H370" s="18"/>
    </row>
    <row r="371" spans="7:8" ht="12.75">
      <c r="G371" s="18"/>
      <c r="H371" s="18"/>
    </row>
    <row r="372" spans="7:8" ht="12.75">
      <c r="G372" s="18"/>
      <c r="H372" s="18"/>
    </row>
    <row r="373" spans="7:8" ht="12.75">
      <c r="G373" s="18"/>
      <c r="H373" s="18"/>
    </row>
    <row r="374" spans="7:8" ht="12.75">
      <c r="G374" s="18"/>
      <c r="H374" s="18"/>
    </row>
    <row r="375" spans="7:8" ht="12.75">
      <c r="G375" s="18"/>
      <c r="H375" s="18"/>
    </row>
    <row r="376" spans="7:8" ht="12.75">
      <c r="G376" s="18"/>
      <c r="H376" s="18"/>
    </row>
    <row r="377" spans="7:8" ht="12.75">
      <c r="G377" s="18"/>
      <c r="H377" s="18"/>
    </row>
    <row r="378" spans="7:8" ht="12.75">
      <c r="G378" s="18"/>
      <c r="H378" s="18"/>
    </row>
    <row r="379" spans="7:8" ht="12.75">
      <c r="G379" s="18"/>
      <c r="H379" s="18"/>
    </row>
    <row r="380" spans="7:8" ht="12.75">
      <c r="G380" s="18"/>
      <c r="H380" s="18"/>
    </row>
    <row r="381" spans="7:8" ht="12.75">
      <c r="G381" s="18"/>
      <c r="H381" s="18"/>
    </row>
    <row r="382" spans="7:8" ht="12.75">
      <c r="G382" s="18"/>
      <c r="H382" s="18"/>
    </row>
    <row r="383" spans="7:8" ht="12.75">
      <c r="G383" s="18"/>
      <c r="H383" s="18"/>
    </row>
    <row r="384" spans="7:8" ht="12.75">
      <c r="G384" s="18"/>
      <c r="H384" s="18"/>
    </row>
    <row r="385" spans="7:8" ht="12.75">
      <c r="G385" s="18"/>
      <c r="H385" s="18"/>
    </row>
    <row r="386" spans="7:8" ht="12.75">
      <c r="G386" s="18"/>
      <c r="H386" s="18"/>
    </row>
    <row r="387" spans="7:8" ht="12.75">
      <c r="G387" s="18"/>
      <c r="H387" s="18"/>
    </row>
    <row r="388" spans="7:8" ht="12.75">
      <c r="G388" s="18"/>
      <c r="H388" s="18"/>
    </row>
    <row r="389" spans="7:8" ht="12.75">
      <c r="G389" s="18"/>
      <c r="H389" s="18"/>
    </row>
    <row r="390" spans="7:8" ht="12.75">
      <c r="G390" s="18"/>
      <c r="H390" s="18"/>
    </row>
    <row r="391" spans="7:8" ht="12.75">
      <c r="G391" s="18"/>
      <c r="H391" s="18"/>
    </row>
    <row r="392" spans="7:8" ht="12.75">
      <c r="G392" s="18"/>
      <c r="H392" s="18"/>
    </row>
    <row r="393" spans="7:8" ht="12.75">
      <c r="G393" s="18"/>
      <c r="H393" s="18"/>
    </row>
    <row r="394" spans="7:8" ht="12.75">
      <c r="G394" s="18"/>
      <c r="H394" s="18"/>
    </row>
    <row r="395" spans="7:8" ht="12.75">
      <c r="G395" s="18"/>
      <c r="H395" s="18"/>
    </row>
    <row r="396" spans="7:8" ht="12.75">
      <c r="G396" s="18"/>
      <c r="H396" s="18"/>
    </row>
    <row r="397" spans="7:8" ht="12.75">
      <c r="G397" s="18"/>
      <c r="H397" s="18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58">
    <cfRule type="cellIs" priority="3" dxfId="2" operator="lessThan" stopIfTrue="1">
      <formula>0</formula>
    </cfRule>
  </conditionalFormatting>
  <printOptions/>
  <pageMargins left="0.5511811023622047" right="0.15748031496062992" top="0.1968503937007874" bottom="0.1968503937007874" header="0.15748031496062992" footer="0.1968503937007874"/>
  <pageSetup horizontalDpi="600" verticalDpi="600" orientation="landscape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625" style="0" customWidth="1"/>
  </cols>
  <sheetData>
    <row r="1" spans="1:5" ht="15">
      <c r="A1" s="4" t="s">
        <v>32</v>
      </c>
      <c r="B1" s="4"/>
      <c r="C1" s="4"/>
      <c r="D1" s="4" t="s">
        <v>30</v>
      </c>
      <c r="E1" s="5">
        <f>'аналіз фінансування'!C152</f>
        <v>2103189.8</v>
      </c>
    </row>
    <row r="2" spans="1:5" ht="15">
      <c r="A2" s="4"/>
      <c r="B2" s="4"/>
      <c r="C2" s="4"/>
      <c r="D2" s="4" t="s">
        <v>31</v>
      </c>
      <c r="E2" s="5">
        <f>'аналіз фінансування'!D152</f>
        <v>235303.69999999992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37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50390625" style="0" customWidth="1"/>
  </cols>
  <sheetData>
    <row r="1" spans="1:5" ht="15">
      <c r="A1" s="4" t="s">
        <v>32</v>
      </c>
      <c r="B1" s="4"/>
      <c r="C1" s="4"/>
      <c r="D1" s="4" t="s">
        <v>30</v>
      </c>
      <c r="E1" s="5">
        <f>'аналіз фінансування'!C152</f>
        <v>2103189.8</v>
      </c>
    </row>
    <row r="2" spans="1:5" ht="15">
      <c r="A2" s="4"/>
      <c r="B2" s="4"/>
      <c r="C2" s="4"/>
      <c r="D2" s="4" t="s">
        <v>31</v>
      </c>
      <c r="E2" s="5">
        <f>'аналіз фінансування'!D152</f>
        <v>235303.69999999992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</cp:lastModifiedBy>
  <cp:lastPrinted>2018-02-23T12:47:49Z</cp:lastPrinted>
  <dcterms:created xsi:type="dcterms:W3CDTF">2000-06-20T04:48:00Z</dcterms:created>
  <dcterms:modified xsi:type="dcterms:W3CDTF">2018-02-28T08:30:34Z</dcterms:modified>
  <cp:category/>
  <cp:version/>
  <cp:contentType/>
  <cp:contentStatus/>
</cp:coreProperties>
</file>